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posalCF" sheetId="1" r:id="rId1"/>
    <sheet name="AltProposalCF" sheetId="2" r:id="rId2"/>
    <sheet name="CurrentStateCF" sheetId="3" r:id="rId3"/>
    <sheet name="IncrementProposal" sheetId="4" r:id="rId4"/>
    <sheet name="IncrementAltProp" sheetId="5" r:id="rId5"/>
    <sheet name="Graphs" sheetId="6" r:id="rId6"/>
    <sheet name="TCO" sheetId="7" r:id="rId7"/>
    <sheet name="Summary" sheetId="8" r:id="rId8"/>
  </sheets>
  <definedNames>
    <definedName name="Baseline_Cost_PS">'CurrentStateCF'!$H$21:$H$23</definedName>
    <definedName name="Baseline_HW_Impl">'CurrentStateCF'!$H$35</definedName>
    <definedName name="Baseline_HW_Ongoing">'CurrentStateCF'!$H$36</definedName>
    <definedName name="Baseline_IT_Ongoing">'CurrentStateCF'!$H$39:$H$41</definedName>
    <definedName name="Baseline_IT_Proj">'CurrentStateCF'!$H$38</definedName>
    <definedName name="Baseline_SDC_Ongoing">'CurrentStateCF'!$H$27:$H$30</definedName>
    <definedName name="Baseline_SW_Impl">'CurrentStateCF'!$H$32</definedName>
    <definedName name="Baseline_SW_Ongoing">'CurrentStateCF'!$H$33</definedName>
    <definedName name="DCF_1" localSheetId="0">'ProposalCF'!$H$55</definedName>
    <definedName name="DCF_Rate_1" localSheetId="0">'ProposalCF'!$H$5</definedName>
    <definedName name="Incremental1_Cost_PS">'IncrementProposal'!$H$21:$H$23</definedName>
    <definedName name="Incremental1_HW_Impl">'IncrementProposal'!$H$35</definedName>
    <definedName name="Incremental1_HW_Ongoing">'IncrementProposal'!$H$36</definedName>
    <definedName name="Incremental1_IT_Ongoing">'IncrementProposal'!$H$39:$H$41</definedName>
    <definedName name="Incremental1_IT_Proj">'IncrementProposal'!$H$38</definedName>
    <definedName name="Incremental1_SDC_Ongoing">'IncrementProposal'!$H$27:$H$30</definedName>
    <definedName name="Incremental1_SW_Impl">'IncrementProposal'!$H$32</definedName>
    <definedName name="Incremental1_SW_Ongoing">'IncrementProposal'!$H$33</definedName>
    <definedName name="Incremental2_Cost_PS">'IncrementAltProp'!$H$21:$H$23</definedName>
    <definedName name="Incremental2_HW_Impl">'IncrementAltProp'!$H$35</definedName>
    <definedName name="Incremental2_HW_Ongoing">'IncrementAltProp'!$H$36</definedName>
    <definedName name="Incremental2_IT_Ongoing">'IncrementAltProp'!$H$39:$H$41</definedName>
    <definedName name="Incremental2_IT_Proj">'IncrementAltProp'!$H$38</definedName>
    <definedName name="Incremental2_SDC_Ongoing">'IncrementAltProp'!$H$27:$H$30</definedName>
    <definedName name="Incremental2_SW_Impl">'IncrementAltProp'!$H$32</definedName>
    <definedName name="Incremental2_SW_Ongoing">'IncrementAltProp'!$H$33</definedName>
    <definedName name="Incremental22_IT_Proj">'IncrementAltProp'!$H$38</definedName>
    <definedName name="Net_CF" localSheetId="2">'CurrentStateCF'!$H$51</definedName>
    <definedName name="Net_CF" localSheetId="4">'IncrementAltProp'!$H$51</definedName>
    <definedName name="Net_CF" localSheetId="3">'IncrementProposal'!$H$51</definedName>
    <definedName name="Net_CF" localSheetId="0">'ProposalCF'!$H$51</definedName>
    <definedName name="Net_CF">'AltProposalCF'!$H$51</definedName>
    <definedName name="Scenario1_Cost_PS">'ProposalCF'!$H$21:$H$23</definedName>
    <definedName name="Scenario1_HW_Impl">'ProposalCF'!$H$35</definedName>
    <definedName name="Scenario1_HW_Ongoing">'ProposalCF'!$H$36</definedName>
    <definedName name="Scenario1_IT_Ongoing">'ProposalCF'!$H$39:$H$41</definedName>
    <definedName name="Scenario1_IT_Proj">'ProposalCF'!$H$38</definedName>
    <definedName name="Scenario1_SDC_Ongoing">'ProposalCF'!$H$27:$H$30</definedName>
    <definedName name="Scenario1_SW_Impl">'ProposalCF'!$H$32</definedName>
    <definedName name="Scenario1_SW_Ongoing">'ProposalCF'!$H$33</definedName>
    <definedName name="Scenario2_Cost_PS">'AltProposalCF'!$H$21:$H$23</definedName>
    <definedName name="Scenario2_HW_Impl">'AltProposalCF'!$H$35</definedName>
    <definedName name="Scenario2_HW_Ongoing">'AltProposalCF'!$H$36</definedName>
    <definedName name="Scenario2_IT_Ongoing">'AltProposalCF'!$H$39:$H$41</definedName>
    <definedName name="Scenario2_IT_Proj">'AltProposalCF'!$H$38</definedName>
    <definedName name="Scenario2_SDC_Ongoing">'AltProposalCF'!$H$27:$H$30</definedName>
    <definedName name="Scenario2_SW_Impl">'AltProposalCF'!$H$32</definedName>
    <definedName name="Scenario2_SW_Ongoing">'AltProposalCF'!$H$33</definedName>
  </definedNames>
  <calcPr fullCalcOnLoad="1"/>
</workbook>
</file>

<file path=xl/sharedStrings.xml><?xml version="1.0" encoding="utf-8"?>
<sst xmlns="http://schemas.openxmlformats.org/spreadsheetml/2006/main" count="393" uniqueCount="111">
  <si>
    <t xml:space="preserve"> TOTAL</t>
  </si>
  <si>
    <t>BENEFITS / GAINS</t>
  </si>
  <si>
    <t>Total Benefits/Gains</t>
  </si>
  <si>
    <t>Cash inflows (outflows)</t>
  </si>
  <si>
    <t>NET CASH FLOW</t>
  </si>
  <si>
    <t>Discounted Cash Flow</t>
  </si>
  <si>
    <t>$ in 1000s</t>
  </si>
  <si>
    <t>Net Cash Flow</t>
  </si>
  <si>
    <t>State Data Center Costs</t>
  </si>
  <si>
    <t>Hardware Costs</t>
  </si>
  <si>
    <t>Software Costs</t>
  </si>
  <si>
    <t>Benefit item 1……………………………………………..</t>
  </si>
  <si>
    <t>Benefit item 2………………………………</t>
  </si>
  <si>
    <t>Benefit item 3………………………………….</t>
  </si>
  <si>
    <t>Benefit item 4…………………………………….</t>
  </si>
  <si>
    <t>Total Costs</t>
  </si>
  <si>
    <t>Benefits and Gains…………………………..</t>
  </si>
  <si>
    <t>Costs…………………………………………..</t>
  </si>
  <si>
    <r>
      <t xml:space="preserve">CASH FLOW SUMMARY </t>
    </r>
    <r>
      <rPr>
        <sz val="10"/>
        <color indexed="8"/>
        <rFont val="Arial"/>
        <family val="2"/>
      </rPr>
      <t>inflows (outflows)</t>
    </r>
  </si>
  <si>
    <r>
      <t xml:space="preserve">COST ITEMS </t>
    </r>
    <r>
      <rPr>
        <sz val="10"/>
        <color indexed="8"/>
        <rFont val="Arial"/>
        <family val="2"/>
      </rPr>
      <t>inflows (outflows)</t>
    </r>
  </si>
  <si>
    <t>NPV</t>
  </si>
  <si>
    <t>Cumulative Net CF………………………………</t>
  </si>
  <si>
    <t xml:space="preserve">Discount rate </t>
  </si>
  <si>
    <t>INCREMENTAL CASH FLOW 2</t>
  </si>
  <si>
    <t>Financial Metrics Summary</t>
  </si>
  <si>
    <t>Total Benefits</t>
  </si>
  <si>
    <t>State Perm Staff…………………………………….</t>
  </si>
  <si>
    <t>State Temp Staff………………………………..</t>
  </si>
  <si>
    <t>State LD Staff…………………………………..</t>
  </si>
  <si>
    <t>Personal Services Costs (Salaries &amp; Benefits)</t>
  </si>
  <si>
    <t>Services &amp; Supplies/Capital Outlay Costs</t>
  </si>
  <si>
    <t>Hosting……………………………</t>
  </si>
  <si>
    <t>Storage…………………………………..</t>
  </si>
  <si>
    <t>Network…………………………………..</t>
  </si>
  <si>
    <t>SW License Maintenance…………….</t>
  </si>
  <si>
    <t>IT Professional Services</t>
  </si>
  <si>
    <t>Consulting Services…………………………………….</t>
  </si>
  <si>
    <t>SW Purchase/Upgrade…………………….</t>
  </si>
  <si>
    <t>Project Dev/Implementation…..</t>
  </si>
  <si>
    <t>Operational Staff………………….</t>
  </si>
  <si>
    <t>Operational Augmentation…….</t>
  </si>
  <si>
    <t xml:space="preserve">Other………………………………. </t>
  </si>
  <si>
    <t>Hardware Ongoing Maint………..</t>
  </si>
  <si>
    <t>Hardware Purchase/Upgrade……………</t>
  </si>
  <si>
    <t xml:space="preserve">PROPOSED ALTERNATIVE INCREMENTAL CASH FLOW </t>
  </si>
  <si>
    <t>Current State</t>
  </si>
  <si>
    <t>PROPOSAL CASH FLOW</t>
  </si>
  <si>
    <t>Positive numbers are cash inflows</t>
  </si>
  <si>
    <t>Numbers in parenthesis are negative numbers (cash outflows)</t>
  </si>
  <si>
    <t>Proposal Scenario</t>
  </si>
  <si>
    <t>Annual Cash Flow</t>
  </si>
  <si>
    <t>Alternative Proposal Scenario</t>
  </si>
  <si>
    <t>Current State Scenario</t>
  </si>
  <si>
    <t>Blue cells are for user input (unlocked)</t>
  </si>
  <si>
    <t>ALTERNATIVE PROPOSAL CASH FLOW</t>
  </si>
  <si>
    <t>Yellow cells hold formulas and are calculated automatically (locked)</t>
  </si>
  <si>
    <t>Year ending…</t>
  </si>
  <si>
    <t>CURRENT STATE (BASELINE) CASH FLOW</t>
  </si>
  <si>
    <t>All figures represent  (AltProposal Value) - (Current State Value)</t>
  </si>
  <si>
    <t>All figures represent  (Proposal Value) - (Current State Value)</t>
  </si>
  <si>
    <t>Fiscal Year</t>
  </si>
  <si>
    <t>Prop Cumul CF</t>
  </si>
  <si>
    <t>Curr St Cumul CF</t>
  </si>
  <si>
    <t>Proposal and Current State Cash Flow</t>
  </si>
  <si>
    <t>Current State CF</t>
  </si>
  <si>
    <t>Alt Proposal CF</t>
  </si>
  <si>
    <t>Proposal CF</t>
  </si>
  <si>
    <t>Alt Prop Cumul CF</t>
  </si>
  <si>
    <t>DATA FOR GRAPHING</t>
  </si>
  <si>
    <t>Proposal, Alt Proposal, &amp; Current State Cash Flow</t>
  </si>
  <si>
    <t>Proposal</t>
  </si>
  <si>
    <t>Alt Proposal</t>
  </si>
  <si>
    <t>Incr Proposal</t>
  </si>
  <si>
    <t>Incr Alt Prop</t>
  </si>
  <si>
    <t>The discount rate entered here will be used on all worksheets</t>
  </si>
  <si>
    <t>Discount rate is entered on Proposal CF Worksheet</t>
  </si>
  <si>
    <t>All values on this worksheet are derived from entries on other sheets</t>
  </si>
  <si>
    <t>$ in $1,000s</t>
  </si>
  <si>
    <t>Numbers in parenthesis are negative numbers</t>
  </si>
  <si>
    <t>TOTAL COST OF OWNERSHIP ANALYSIS</t>
  </si>
  <si>
    <t>Comprehensive Cost Model for All Scenarios:</t>
  </si>
  <si>
    <t>Project and 
Implementation</t>
  </si>
  <si>
    <t>Operations, Maintenance,
Ongoing Support</t>
  </si>
  <si>
    <t>• State Perm Staff
• State Temp Staff
• State LD Staff</t>
  </si>
  <si>
    <t>Personal
Services</t>
  </si>
  <si>
    <t>Salaries 
&amp; Benefits</t>
  </si>
  <si>
    <t>State
Data Center</t>
  </si>
  <si>
    <t>Software</t>
  </si>
  <si>
    <t>Hardware</t>
  </si>
  <si>
    <t>IT Professional
Services</t>
  </si>
  <si>
    <t>•  Consulting Services
• Hosting
• Storage
• Network</t>
  </si>
  <si>
    <t>•  Software purchase / Upgrades</t>
  </si>
  <si>
    <t>•  Software license maintenance</t>
  </si>
  <si>
    <t>•  Hardware purchase / Upgrades</t>
  </si>
  <si>
    <t>•  Hardware ongoing maint</t>
  </si>
  <si>
    <t>•  Project Devel/Implementation</t>
  </si>
  <si>
    <t>Services 
&amp; Supplies
&amp; Capital 
Outlay</t>
  </si>
  <si>
    <t>PROPOSAL SCENARIO COSTS</t>
  </si>
  <si>
    <t>ALTERNATE PROPOSAL SCENARIO COSTS</t>
  </si>
  <si>
    <t>CURRENT STATE (BASELINE) SCENARIO COSTS</t>
  </si>
  <si>
    <t>INCREMENTAL PROPOSAL COSTS</t>
  </si>
  <si>
    <t>Positive numbers are savings</t>
  </si>
  <si>
    <t>Totals include FY 2009 through FY 2012</t>
  </si>
  <si>
    <t>Negative numbers () are net costs</t>
  </si>
  <si>
    <t>INCREMENTAL ALTERNATE PROPOSAL COSTS</t>
  </si>
  <si>
    <r>
      <t xml:space="preserve">Positive numbers are </t>
    </r>
    <r>
      <rPr>
        <b/>
        <sz val="10"/>
        <color indexed="8"/>
        <rFont val="Arial"/>
        <family val="2"/>
      </rPr>
      <t>savings</t>
    </r>
  </si>
  <si>
    <r>
      <t xml:space="preserve">Negative numbers in () are </t>
    </r>
    <r>
      <rPr>
        <b/>
        <sz val="10"/>
        <color indexed="8"/>
        <rFont val="Arial"/>
        <family val="2"/>
      </rPr>
      <t>net costs</t>
    </r>
  </si>
  <si>
    <t>$ in 1,000s</t>
  </si>
  <si>
    <t>Total</t>
  </si>
  <si>
    <t>%</t>
  </si>
  <si>
    <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</si>
</sst>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quot;#,##0.0_);[Red]\(&quot;$&quot;#,##0.0\)"/>
    <numFmt numFmtId="168" formatCode="##,###,##0;\(##,###,##0\)"/>
    <numFmt numFmtId="169" formatCode="0.00;[Red]0.00"/>
    <numFmt numFmtId="170" formatCode="0.000;[Red]0.000"/>
    <numFmt numFmtId="171" formatCode="0.0;[Red]0.0"/>
    <numFmt numFmtId="172" formatCode="0;[Red]0"/>
    <numFmt numFmtId="173" formatCode="&quot;Yes&quot;;&quot;Yes&quot;;&quot;No&quot;"/>
    <numFmt numFmtId="174" formatCode="&quot;True&quot;;&quot;True&quot;;&quot;False&quot;"/>
    <numFmt numFmtId="175" formatCode="&quot;On&quot;;&quot;On&quot;;&quot;Off&quot;"/>
    <numFmt numFmtId="176" formatCode="[$€-2]\ #,##0.00_);[Red]\([$€-2]\ #,##0.00\)"/>
    <numFmt numFmtId="177" formatCode="0.0000_);\(0.0000\)"/>
    <numFmt numFmtId="178" formatCode="[$-409]d\-mmm\-yy;@"/>
    <numFmt numFmtId="179" formatCode="[$-409]dddd\,\ mmmm\ dd\,\ yyyy"/>
    <numFmt numFmtId="180" formatCode="#,##0.0"/>
    <numFmt numFmtId="181" formatCode="0.000"/>
    <numFmt numFmtId="182" formatCode="[$-409]mmmmm;@"/>
    <numFmt numFmtId="183" formatCode="mmmm"/>
    <numFmt numFmtId="184" formatCode="mmm"/>
    <numFmt numFmtId="185" formatCode="#,##0.0_);\(#,##0.0\)"/>
    <numFmt numFmtId="186" formatCode="0.0_);\(0.0\)"/>
    <numFmt numFmtId="187" formatCode="0_);\(0\)"/>
    <numFmt numFmtId="188" formatCode="mmm\ dd"/>
    <numFmt numFmtId="189" formatCode="yyyy"/>
    <numFmt numFmtId="190" formatCode="&quot;$&quot;#,##0.0"/>
    <numFmt numFmtId="191" formatCode="&quot;$&quot;#,##0.0_);\(&quot;$&quot;#,##0.0\)"/>
  </numFmts>
  <fonts count="52">
    <font>
      <sz val="10"/>
      <color indexed="8"/>
      <name val="MS Sans Serif"/>
      <family val="0"/>
    </font>
    <font>
      <b/>
      <sz val="10"/>
      <color indexed="8"/>
      <name val="MS Sans Serif"/>
      <family val="0"/>
    </font>
    <font>
      <i/>
      <sz val="10"/>
      <color indexed="8"/>
      <name val="MS Sans Serif"/>
      <family val="0"/>
    </font>
    <font>
      <b/>
      <i/>
      <sz val="10"/>
      <color indexed="8"/>
      <name val="MS Sans Serif"/>
      <family val="0"/>
    </font>
    <font>
      <u val="single"/>
      <sz val="10"/>
      <color indexed="12"/>
      <name val="MS Sans Serif"/>
      <family val="0"/>
    </font>
    <font>
      <u val="single"/>
      <sz val="10"/>
      <color indexed="36"/>
      <name val="MS Sans Serif"/>
      <family val="0"/>
    </font>
    <font>
      <sz val="10"/>
      <color indexed="8"/>
      <name val="Arial"/>
      <family val="2"/>
    </font>
    <font>
      <b/>
      <sz val="10"/>
      <color indexed="8"/>
      <name val="Arial"/>
      <family val="2"/>
    </font>
    <font>
      <i/>
      <sz val="10"/>
      <color indexed="8"/>
      <name val="Arial"/>
      <family val="2"/>
    </font>
    <font>
      <b/>
      <sz val="10"/>
      <color indexed="17"/>
      <name val="Arial"/>
      <family val="2"/>
    </font>
    <font>
      <b/>
      <i/>
      <sz val="10"/>
      <color indexed="8"/>
      <name val="Arial"/>
      <family val="2"/>
    </font>
    <font>
      <b/>
      <sz val="9"/>
      <color indexed="8"/>
      <name val="Arial"/>
      <family val="2"/>
    </font>
    <font>
      <b/>
      <sz val="10"/>
      <color indexed="9"/>
      <name val="Arial"/>
      <family val="2"/>
    </font>
    <font>
      <sz val="10"/>
      <color indexed="8"/>
      <name val="Cambria"/>
      <family val="1"/>
    </font>
    <font>
      <b/>
      <sz val="10"/>
      <color indexed="22"/>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color indexed="63"/>
      </right>
      <top style="thin">
        <color indexed="8"/>
      </top>
      <bottom>
        <color indexed="63"/>
      </bottom>
    </border>
    <border>
      <left style="thin">
        <color indexed="23"/>
      </left>
      <right style="thin">
        <color indexed="23"/>
      </right>
      <top style="thin">
        <color indexed="23"/>
      </top>
      <bottom style="thin">
        <color indexed="23"/>
      </botto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23"/>
      </left>
      <right style="thin">
        <color indexed="23"/>
      </right>
      <top style="thick">
        <color indexed="23"/>
      </top>
      <bottom style="thin">
        <color indexed="23"/>
      </bottom>
    </border>
    <border>
      <left style="thick">
        <color indexed="23"/>
      </left>
      <right>
        <color indexed="63"/>
      </right>
      <top style="thin">
        <color indexed="23"/>
      </top>
      <bottom>
        <color indexed="63"/>
      </bottom>
    </border>
    <border>
      <left style="thin">
        <color indexed="9"/>
      </left>
      <right style="thin"/>
      <top style="thin"/>
      <bottom>
        <color indexed="63"/>
      </bottom>
    </border>
    <border>
      <left style="thin">
        <color indexed="9"/>
      </left>
      <right style="thin"/>
      <top>
        <color indexed="63"/>
      </top>
      <bottom>
        <color indexed="63"/>
      </bottom>
    </border>
    <border>
      <left>
        <color indexed="63"/>
      </left>
      <right>
        <color indexed="63"/>
      </right>
      <top style="thick">
        <color indexed="9"/>
      </top>
      <bottom>
        <color indexed="63"/>
      </bottom>
    </border>
    <border>
      <left>
        <color indexed="63"/>
      </left>
      <right>
        <color indexed="63"/>
      </right>
      <top style="thick">
        <color indexed="9"/>
      </top>
      <bottom style="thick">
        <color indexed="9"/>
      </bottom>
    </border>
    <border>
      <left style="thin">
        <color indexed="23"/>
      </left>
      <right>
        <color indexed="63"/>
      </right>
      <top style="thick">
        <color indexed="23"/>
      </top>
      <bottom style="thin">
        <color indexed="23"/>
      </bottom>
    </border>
    <border>
      <left>
        <color indexed="63"/>
      </left>
      <right style="thin">
        <color indexed="23"/>
      </right>
      <top style="thick">
        <color indexed="23"/>
      </top>
      <bottom style="thin">
        <color indexed="23"/>
      </bottom>
    </border>
    <border>
      <left>
        <color indexed="63"/>
      </left>
      <right>
        <color indexed="63"/>
      </right>
      <top style="thick">
        <color indexed="23"/>
      </top>
      <bottom style="thin">
        <color indexed="23"/>
      </bottom>
    </border>
    <border>
      <left style="thick">
        <color indexed="23"/>
      </left>
      <right style="thin">
        <color indexed="23"/>
      </right>
      <top style="thin">
        <color indexed="23"/>
      </top>
      <bottom>
        <color indexed="63"/>
      </bottom>
    </border>
    <border>
      <left style="thick">
        <color indexed="23"/>
      </left>
      <right style="thin">
        <color indexed="23"/>
      </right>
      <top>
        <color indexed="63"/>
      </top>
      <bottom style="thin">
        <color indexed="23"/>
      </bottom>
    </border>
    <border>
      <left style="thick">
        <color indexed="23"/>
      </left>
      <right style="thin">
        <color indexed="2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ck">
        <color indexed="9"/>
      </left>
      <right>
        <color indexed="63"/>
      </right>
      <top>
        <color indexed="63"/>
      </top>
      <bottom>
        <color indexed="63"/>
      </bottom>
    </border>
    <border>
      <left style="thick">
        <color indexed="9"/>
      </left>
      <right>
        <color indexed="63"/>
      </right>
      <top>
        <color indexed="63"/>
      </top>
      <bottom style="medium">
        <color indexed="23"/>
      </bottom>
    </border>
    <border>
      <left style="thick">
        <color indexed="23"/>
      </left>
      <right style="thin">
        <color indexed="23"/>
      </right>
      <top style="medium">
        <color indexed="23"/>
      </top>
      <bottom>
        <color indexed="63"/>
      </bottom>
    </border>
    <border>
      <left style="thick">
        <color indexed="9"/>
      </left>
      <right style="thin">
        <color indexed="23"/>
      </right>
      <top>
        <color indexed="63"/>
      </top>
      <bottom>
        <color indexed="63"/>
      </bottom>
    </border>
    <border>
      <left style="thick">
        <color indexed="9"/>
      </left>
      <right style="thin">
        <color indexed="23"/>
      </right>
      <top>
        <color indexed="63"/>
      </top>
      <bottom style="medium">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medium">
        <color indexed="23"/>
      </top>
      <bottom>
        <color indexed="63"/>
      </bottom>
    </border>
    <border>
      <left style="thick">
        <color indexed="9"/>
      </left>
      <right style="thick">
        <color indexed="9"/>
      </right>
      <top>
        <color indexed="63"/>
      </top>
      <bottom>
        <color indexed="63"/>
      </bottom>
    </border>
    <border>
      <left>
        <color indexed="63"/>
      </left>
      <right style="thin">
        <color indexed="23"/>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medium">
        <color indexed="23"/>
      </bottom>
    </border>
    <border>
      <left style="thick">
        <color indexed="9"/>
      </left>
      <right style="thick">
        <color indexed="9"/>
      </right>
      <top>
        <color indexed="63"/>
      </top>
      <bottom style="medium">
        <color indexed="23"/>
      </bottom>
    </border>
  </borders>
  <cellStyleXfs count="63">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Protection="0">
      <alignment/>
    </xf>
    <xf numFmtId="38" fontId="0" fillId="0" borderId="0" applyFont="0" applyFill="0" applyProtection="0">
      <alignment/>
    </xf>
    <xf numFmtId="8" fontId="0" fillId="0" borderId="0" applyFont="0" applyFill="0" applyProtection="0">
      <alignment/>
    </xf>
    <xf numFmtId="6" fontId="0" fillId="0" borderId="0" applyFont="0" applyFill="0" applyProtection="0">
      <alignment/>
    </xf>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Protection="0">
      <alignment/>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164" fontId="6" fillId="0" borderId="0" xfId="0" applyNumberFormat="1" applyFont="1" applyAlignment="1">
      <alignment/>
    </xf>
    <xf numFmtId="0" fontId="6" fillId="0" borderId="10" xfId="0" applyFont="1" applyBorder="1" applyAlignment="1">
      <alignment horizontal="left" vertical="center"/>
    </xf>
    <xf numFmtId="0" fontId="7" fillId="0" borderId="11" xfId="0" applyFont="1" applyBorder="1" applyAlignment="1">
      <alignment/>
    </xf>
    <xf numFmtId="0" fontId="6" fillId="0" borderId="0" xfId="0" applyFont="1" applyAlignment="1" applyProtection="1">
      <alignment/>
      <protection locked="0"/>
    </xf>
    <xf numFmtId="0" fontId="8" fillId="0" borderId="0" xfId="0" applyFont="1" applyAlignment="1">
      <alignment/>
    </xf>
    <xf numFmtId="0" fontId="6" fillId="0" borderId="0" xfId="0" applyFont="1" applyFill="1" applyAlignment="1">
      <alignment/>
    </xf>
    <xf numFmtId="0" fontId="6" fillId="0" borderId="0" xfId="0" applyFont="1" applyAlignment="1">
      <alignment horizontal="right"/>
    </xf>
    <xf numFmtId="0" fontId="9" fillId="0" borderId="0" xfId="0" applyFont="1" applyBorder="1" applyAlignment="1" applyProtection="1">
      <alignment/>
      <protection locked="0"/>
    </xf>
    <xf numFmtId="0" fontId="0" fillId="0" borderId="0" xfId="0" applyBorder="1" applyAlignment="1">
      <alignment/>
    </xf>
    <xf numFmtId="0" fontId="6" fillId="0" borderId="0" xfId="0" applyFont="1" applyFill="1" applyBorder="1" applyAlignment="1">
      <alignment/>
    </xf>
    <xf numFmtId="0" fontId="7" fillId="0" borderId="0" xfId="0" applyFont="1" applyBorder="1" applyAlignment="1">
      <alignment horizontal="left"/>
    </xf>
    <xf numFmtId="0" fontId="0" fillId="0" borderId="0" xfId="0" applyFont="1" applyAlignment="1">
      <alignment/>
    </xf>
    <xf numFmtId="0" fontId="1" fillId="0" borderId="0" xfId="0" applyFont="1" applyAlignment="1">
      <alignment/>
    </xf>
    <xf numFmtId="0" fontId="1" fillId="0" borderId="0" xfId="0" applyFont="1" applyAlignment="1">
      <alignment horizontal="right" indent="1"/>
    </xf>
    <xf numFmtId="0" fontId="10" fillId="0" borderId="0" xfId="0" applyFont="1" applyAlignment="1">
      <alignment/>
    </xf>
    <xf numFmtId="0" fontId="6" fillId="0" borderId="0" xfId="0" applyFont="1" applyAlignment="1">
      <alignment horizontal="left"/>
    </xf>
    <xf numFmtId="0" fontId="8" fillId="0" borderId="0" xfId="0" applyFont="1" applyAlignment="1">
      <alignment horizontal="left" indent="5"/>
    </xf>
    <xf numFmtId="186" fontId="6" fillId="0" borderId="0" xfId="0" applyNumberFormat="1" applyFont="1" applyAlignment="1">
      <alignment/>
    </xf>
    <xf numFmtId="186" fontId="6" fillId="33" borderId="12" xfId="0" applyNumberFormat="1" applyFont="1" applyFill="1" applyBorder="1" applyAlignment="1">
      <alignment/>
    </xf>
    <xf numFmtId="186" fontId="6" fillId="0" borderId="12" xfId="0" applyNumberFormat="1" applyFont="1" applyBorder="1" applyAlignment="1">
      <alignment/>
    </xf>
    <xf numFmtId="186" fontId="6" fillId="33" borderId="10" xfId="0" applyNumberFormat="1" applyFont="1" applyFill="1" applyBorder="1" applyAlignment="1">
      <alignment/>
    </xf>
    <xf numFmtId="186" fontId="6" fillId="33" borderId="13" xfId="0" applyNumberFormat="1" applyFont="1" applyFill="1" applyBorder="1" applyAlignment="1">
      <alignment/>
    </xf>
    <xf numFmtId="186" fontId="0" fillId="0" borderId="12" xfId="0" applyNumberFormat="1" applyBorder="1" applyAlignment="1">
      <alignment/>
    </xf>
    <xf numFmtId="186" fontId="6" fillId="33" borderId="0" xfId="0" applyNumberFormat="1" applyFont="1" applyFill="1" applyAlignment="1">
      <alignment/>
    </xf>
    <xf numFmtId="186" fontId="6" fillId="33" borderId="14" xfId="0" applyNumberFormat="1" applyFont="1" applyFill="1" applyBorder="1" applyAlignment="1">
      <alignment/>
    </xf>
    <xf numFmtId="186" fontId="7" fillId="33" borderId="11" xfId="0" applyNumberFormat="1" applyFont="1" applyFill="1" applyBorder="1" applyAlignment="1">
      <alignment/>
    </xf>
    <xf numFmtId="186" fontId="7" fillId="33" borderId="15" xfId="0" applyNumberFormat="1" applyFont="1" applyFill="1" applyBorder="1" applyAlignment="1">
      <alignment/>
    </xf>
    <xf numFmtId="186" fontId="0" fillId="0" borderId="14" xfId="0" applyNumberFormat="1" applyBorder="1" applyAlignment="1">
      <alignment/>
    </xf>
    <xf numFmtId="186" fontId="1" fillId="0" borderId="14" xfId="0" applyNumberFormat="1" applyFont="1" applyBorder="1" applyAlignment="1">
      <alignment horizontal="center"/>
    </xf>
    <xf numFmtId="186" fontId="6" fillId="0" borderId="0" xfId="0" applyNumberFormat="1" applyFont="1" applyFill="1" applyAlignment="1">
      <alignment/>
    </xf>
    <xf numFmtId="186" fontId="6" fillId="34" borderId="0" xfId="0" applyNumberFormat="1" applyFont="1" applyFill="1" applyAlignment="1" applyProtection="1">
      <alignment/>
      <protection locked="0"/>
    </xf>
    <xf numFmtId="166" fontId="6" fillId="34" borderId="16" xfId="0" applyNumberFormat="1" applyFont="1" applyFill="1" applyBorder="1" applyAlignment="1" applyProtection="1">
      <alignment/>
      <protection locked="0"/>
    </xf>
    <xf numFmtId="188" fontId="12" fillId="35" borderId="17" xfId="0" applyNumberFormat="1" applyFont="1" applyFill="1" applyBorder="1" applyAlignment="1">
      <alignment horizontal="center"/>
    </xf>
    <xf numFmtId="188" fontId="12" fillId="35" borderId="18" xfId="0" applyNumberFormat="1" applyFont="1" applyFill="1" applyBorder="1" applyAlignment="1">
      <alignment horizontal="center"/>
    </xf>
    <xf numFmtId="0" fontId="12" fillId="35" borderId="19"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1" fillId="0" borderId="0" xfId="0" applyFont="1" applyAlignment="1">
      <alignment/>
    </xf>
    <xf numFmtId="164" fontId="11" fillId="0" borderId="0" xfId="0" applyNumberFormat="1" applyFont="1" applyAlignment="1">
      <alignment/>
    </xf>
    <xf numFmtId="0" fontId="6" fillId="36" borderId="21" xfId="0" applyFont="1" applyFill="1" applyBorder="1" applyAlignment="1">
      <alignment/>
    </xf>
    <xf numFmtId="0" fontId="6" fillId="36" borderId="22" xfId="0" applyFont="1" applyFill="1" applyBorder="1" applyAlignment="1">
      <alignment/>
    </xf>
    <xf numFmtId="186" fontId="6" fillId="36" borderId="22" xfId="0" applyNumberFormat="1" applyFont="1" applyFill="1" applyBorder="1" applyAlignment="1">
      <alignment/>
    </xf>
    <xf numFmtId="0" fontId="6" fillId="36" borderId="23" xfId="0" applyFont="1" applyFill="1" applyBorder="1" applyAlignment="1">
      <alignment/>
    </xf>
    <xf numFmtId="0" fontId="7" fillId="36" borderId="24" xfId="0" applyFont="1" applyFill="1" applyBorder="1" applyAlignment="1">
      <alignment/>
    </xf>
    <xf numFmtId="186" fontId="6" fillId="36" borderId="0" xfId="0" applyNumberFormat="1" applyFont="1" applyFill="1" applyBorder="1" applyAlignment="1">
      <alignment/>
    </xf>
    <xf numFmtId="0" fontId="6" fillId="36" borderId="25" xfId="0" applyFont="1" applyFill="1" applyBorder="1" applyAlignment="1">
      <alignment/>
    </xf>
    <xf numFmtId="0" fontId="6" fillId="36" borderId="24" xfId="0" applyFont="1" applyFill="1" applyBorder="1" applyAlignment="1">
      <alignment/>
    </xf>
    <xf numFmtId="0" fontId="6" fillId="36" borderId="0" xfId="0" applyFont="1" applyFill="1" applyBorder="1" applyAlignment="1">
      <alignment/>
    </xf>
    <xf numFmtId="186" fontId="7" fillId="36" borderId="0" xfId="0" applyNumberFormat="1" applyFont="1" applyFill="1" applyBorder="1" applyAlignment="1">
      <alignment/>
    </xf>
    <xf numFmtId="0" fontId="6" fillId="36" borderId="0" xfId="0" applyFont="1" applyFill="1" applyBorder="1" applyAlignment="1">
      <alignment horizontal="right"/>
    </xf>
    <xf numFmtId="186" fontId="6" fillId="36" borderId="0" xfId="0" applyNumberFormat="1" applyFont="1" applyFill="1" applyBorder="1" applyAlignment="1">
      <alignment horizontal="center" vertical="center" wrapText="1"/>
    </xf>
    <xf numFmtId="0" fontId="6" fillId="36" borderId="26" xfId="0" applyFont="1" applyFill="1" applyBorder="1" applyAlignment="1">
      <alignment/>
    </xf>
    <xf numFmtId="0" fontId="6" fillId="36" borderId="27" xfId="0" applyFont="1" applyFill="1" applyBorder="1" applyAlignment="1">
      <alignment/>
    </xf>
    <xf numFmtId="186" fontId="6" fillId="36" borderId="27" xfId="0" applyNumberFormat="1" applyFont="1" applyFill="1" applyBorder="1" applyAlignment="1">
      <alignment/>
    </xf>
    <xf numFmtId="0" fontId="6" fillId="36" borderId="28" xfId="0" applyFont="1" applyFill="1" applyBorder="1" applyAlignment="1">
      <alignment/>
    </xf>
    <xf numFmtId="49" fontId="6" fillId="33" borderId="16" xfId="0" applyNumberFormat="1" applyFont="1" applyFill="1" applyBorder="1" applyAlignment="1">
      <alignment horizontal="center" vertical="center" wrapText="1"/>
    </xf>
    <xf numFmtId="186" fontId="6" fillId="33" borderId="16" xfId="0" applyNumberFormat="1" applyFont="1" applyFill="1" applyBorder="1" applyAlignment="1">
      <alignment horizontal="center" vertical="center" wrapText="1"/>
    </xf>
    <xf numFmtId="0" fontId="1" fillId="0" borderId="0" xfId="0" applyFont="1" applyAlignment="1">
      <alignment horizontal="center"/>
    </xf>
    <xf numFmtId="166" fontId="6" fillId="33" borderId="16" xfId="0" applyNumberFormat="1" applyFont="1" applyFill="1" applyBorder="1" applyAlignment="1" applyProtection="1">
      <alignment/>
      <protection/>
    </xf>
    <xf numFmtId="191" fontId="0" fillId="33" borderId="16" xfId="0" applyNumberFormat="1" applyFill="1" applyBorder="1" applyAlignment="1">
      <alignment horizontal="center"/>
    </xf>
    <xf numFmtId="164" fontId="7" fillId="0" borderId="0" xfId="0" applyNumberFormat="1" applyFont="1" applyAlignment="1">
      <alignment/>
    </xf>
    <xf numFmtId="191" fontId="6" fillId="33" borderId="29" xfId="0" applyNumberFormat="1" applyFont="1" applyFill="1" applyBorder="1" applyAlignment="1">
      <alignment horizontal="center" vertical="center"/>
    </xf>
    <xf numFmtId="191" fontId="6" fillId="0" borderId="30" xfId="0" applyNumberFormat="1" applyFont="1" applyFill="1" applyBorder="1" applyAlignment="1">
      <alignment horizontal="center" vertical="center"/>
    </xf>
    <xf numFmtId="166" fontId="6" fillId="33" borderId="16" xfId="0" applyNumberFormat="1" applyFont="1" applyFill="1" applyBorder="1" applyAlignment="1">
      <alignment horizontal="center"/>
    </xf>
    <xf numFmtId="185" fontId="6" fillId="0" borderId="0" xfId="0" applyNumberFormat="1" applyFont="1" applyAlignment="1">
      <alignment/>
    </xf>
    <xf numFmtId="185" fontId="6" fillId="0" borderId="30" xfId="0" applyNumberFormat="1" applyFont="1" applyFill="1" applyBorder="1" applyAlignment="1">
      <alignment horizontal="center" vertical="center"/>
    </xf>
    <xf numFmtId="166" fontId="6" fillId="0" borderId="0" xfId="0" applyNumberFormat="1" applyFont="1" applyFill="1" applyBorder="1" applyAlignment="1">
      <alignment horizontal="center"/>
    </xf>
    <xf numFmtId="191" fontId="6" fillId="0" borderId="22" xfId="0" applyNumberFormat="1" applyFont="1" applyFill="1" applyBorder="1" applyAlignment="1">
      <alignment horizontal="center" vertical="center"/>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 fillId="36" borderId="0" xfId="0" applyFont="1" applyFill="1" applyBorder="1" applyAlignment="1">
      <alignment horizontal="center"/>
    </xf>
    <xf numFmtId="0" fontId="12" fillId="0" borderId="33" xfId="0" applyFont="1" applyFill="1" applyBorder="1" applyAlignment="1">
      <alignment horizontal="right" indent="1"/>
    </xf>
    <xf numFmtId="166" fontId="6" fillId="0" borderId="22" xfId="0" applyNumberFormat="1" applyFont="1" applyFill="1" applyBorder="1" applyAlignment="1">
      <alignment horizontal="center"/>
    </xf>
    <xf numFmtId="0" fontId="12" fillId="37" borderId="34" xfId="0" applyFont="1" applyFill="1" applyBorder="1" applyAlignment="1">
      <alignment horizontal="right" indent="1"/>
    </xf>
    <xf numFmtId="191" fontId="6" fillId="33" borderId="35" xfId="0" applyNumberFormat="1" applyFont="1" applyFill="1" applyBorder="1" applyAlignment="1">
      <alignment horizontal="center"/>
    </xf>
    <xf numFmtId="191" fontId="6" fillId="33" borderId="36" xfId="0" applyNumberFormat="1" applyFont="1" applyFill="1" applyBorder="1" applyAlignment="1">
      <alignment horizontal="center"/>
    </xf>
    <xf numFmtId="191" fontId="6" fillId="33" borderId="37" xfId="0" applyNumberFormat="1" applyFont="1" applyFill="1" applyBorder="1" applyAlignment="1">
      <alignment horizontal="center"/>
    </xf>
    <xf numFmtId="191" fontId="6" fillId="33" borderId="21" xfId="0" applyNumberFormat="1" applyFont="1" applyFill="1" applyBorder="1" applyAlignment="1">
      <alignment horizontal="center" vertical="center"/>
    </xf>
    <xf numFmtId="191" fontId="6" fillId="33" borderId="23" xfId="0" applyNumberFormat="1" applyFont="1" applyFill="1" applyBorder="1" applyAlignment="1">
      <alignment horizontal="center" vertical="center"/>
    </xf>
    <xf numFmtId="191" fontId="6" fillId="33" borderId="24" xfId="0" applyNumberFormat="1" applyFont="1" applyFill="1" applyBorder="1" applyAlignment="1">
      <alignment horizontal="center" vertical="center"/>
    </xf>
    <xf numFmtId="191" fontId="6" fillId="33" borderId="25" xfId="0" applyNumberFormat="1" applyFont="1" applyFill="1" applyBorder="1" applyAlignment="1">
      <alignment horizontal="center" vertical="center"/>
    </xf>
    <xf numFmtId="191" fontId="6" fillId="33" borderId="26" xfId="0" applyNumberFormat="1" applyFont="1" applyFill="1" applyBorder="1" applyAlignment="1">
      <alignment horizontal="center" vertical="center"/>
    </xf>
    <xf numFmtId="191" fontId="6" fillId="33" borderId="28" xfId="0" applyNumberFormat="1" applyFont="1" applyFill="1" applyBorder="1" applyAlignment="1">
      <alignment horizontal="center" vertical="center"/>
    </xf>
    <xf numFmtId="0" fontId="6" fillId="0" borderId="21" xfId="0" applyFont="1" applyBorder="1" applyAlignment="1">
      <alignment horizontal="right" vertical="center" indent="1"/>
    </xf>
    <xf numFmtId="0" fontId="6" fillId="0" borderId="23" xfId="0" applyFont="1" applyBorder="1" applyAlignment="1">
      <alignment horizontal="right" vertical="center" indent="1"/>
    </xf>
    <xf numFmtId="0" fontId="6" fillId="0" borderId="26" xfId="0" applyFont="1" applyBorder="1" applyAlignment="1">
      <alignment horizontal="right" vertical="center" indent="1"/>
    </xf>
    <xf numFmtId="0" fontId="6" fillId="0" borderId="28" xfId="0" applyFont="1" applyBorder="1" applyAlignment="1">
      <alignment horizontal="right" vertical="center" indent="1"/>
    </xf>
    <xf numFmtId="191" fontId="6" fillId="33" borderId="38" xfId="0" applyNumberFormat="1" applyFont="1" applyFill="1" applyBorder="1" applyAlignment="1">
      <alignment horizontal="center" vertical="center"/>
    </xf>
    <xf numFmtId="191" fontId="6" fillId="0" borderId="39" xfId="0" applyNumberFormat="1" applyFont="1" applyBorder="1" applyAlignment="1">
      <alignment horizontal="center" vertical="center"/>
    </xf>
    <xf numFmtId="191" fontId="6" fillId="33" borderId="40" xfId="0" applyNumberFormat="1" applyFont="1" applyFill="1" applyBorder="1" applyAlignment="1">
      <alignment horizontal="center" vertical="center"/>
    </xf>
    <xf numFmtId="191" fontId="6" fillId="0" borderId="40" xfId="0" applyNumberFormat="1" applyFont="1" applyBorder="1" applyAlignment="1">
      <alignment horizontal="center"/>
    </xf>
    <xf numFmtId="191" fontId="13" fillId="33" borderId="38" xfId="0" applyNumberFormat="1" applyFont="1" applyFill="1" applyBorder="1" applyAlignment="1">
      <alignment horizontal="center" vertical="center"/>
    </xf>
    <xf numFmtId="191" fontId="13" fillId="33" borderId="40" xfId="0" applyNumberFormat="1" applyFont="1" applyFill="1" applyBorder="1" applyAlignment="1">
      <alignment horizontal="center" vertical="center"/>
    </xf>
    <xf numFmtId="191" fontId="13" fillId="0" borderId="40" xfId="0" applyNumberFormat="1" applyFont="1" applyBorder="1" applyAlignment="1">
      <alignment/>
    </xf>
    <xf numFmtId="185" fontId="6" fillId="33" borderId="41" xfId="0" applyNumberFormat="1" applyFont="1" applyFill="1" applyBorder="1" applyAlignment="1">
      <alignment horizontal="center"/>
    </xf>
    <xf numFmtId="185" fontId="6" fillId="33" borderId="42" xfId="0" applyNumberFormat="1" applyFont="1" applyFill="1" applyBorder="1" applyAlignment="1">
      <alignment horizontal="center"/>
    </xf>
    <xf numFmtId="185" fontId="6" fillId="33" borderId="43" xfId="0" applyNumberFormat="1" applyFont="1" applyFill="1" applyBorder="1" applyAlignment="1">
      <alignment horizontal="center"/>
    </xf>
    <xf numFmtId="166" fontId="6" fillId="0" borderId="0" xfId="0" applyNumberFormat="1" applyFont="1" applyFill="1" applyBorder="1" applyAlignment="1">
      <alignment horizontal="center" vertical="center"/>
    </xf>
    <xf numFmtId="166" fontId="0" fillId="0" borderId="0" xfId="0" applyNumberFormat="1" applyFill="1" applyBorder="1" applyAlignment="1">
      <alignment horizontal="center" vertical="center"/>
    </xf>
    <xf numFmtId="0" fontId="14" fillId="37" borderId="44" xfId="0" applyFont="1" applyFill="1" applyBorder="1" applyAlignment="1">
      <alignment horizontal="center" vertical="center"/>
    </xf>
    <xf numFmtId="0" fontId="14" fillId="37" borderId="45" xfId="0" applyFont="1" applyFill="1" applyBorder="1" applyAlignment="1">
      <alignment horizontal="center" vertical="center"/>
    </xf>
    <xf numFmtId="191" fontId="13" fillId="33" borderId="46" xfId="0" applyNumberFormat="1" applyFont="1" applyFill="1" applyBorder="1" applyAlignment="1">
      <alignment horizontal="center" vertical="center"/>
    </xf>
    <xf numFmtId="191" fontId="13" fillId="33" borderId="39" xfId="0" applyNumberFormat="1" applyFont="1" applyFill="1" applyBorder="1" applyAlignment="1">
      <alignment horizontal="center" vertical="center"/>
    </xf>
    <xf numFmtId="0" fontId="14" fillId="37" borderId="47" xfId="0" applyFont="1" applyFill="1" applyBorder="1" applyAlignment="1">
      <alignment horizontal="center" vertical="center"/>
    </xf>
    <xf numFmtId="0" fontId="14" fillId="37" borderId="48" xfId="0" applyFont="1" applyFill="1" applyBorder="1" applyAlignment="1">
      <alignment horizontal="center" vertical="center"/>
    </xf>
    <xf numFmtId="0" fontId="14" fillId="0" borderId="0" xfId="0" applyFont="1" applyFill="1" applyBorder="1" applyAlignment="1">
      <alignment horizontal="center" vertical="center"/>
    </xf>
    <xf numFmtId="185" fontId="6" fillId="33" borderId="49" xfId="0" applyNumberFormat="1" applyFont="1" applyFill="1" applyBorder="1" applyAlignment="1">
      <alignment horizontal="center" vertical="center"/>
    </xf>
    <xf numFmtId="185" fontId="0" fillId="0" borderId="50" xfId="0" applyNumberFormat="1" applyBorder="1" applyAlignment="1">
      <alignment horizontal="center" vertical="center"/>
    </xf>
    <xf numFmtId="185" fontId="0" fillId="0" borderId="51" xfId="0" applyNumberFormat="1" applyBorder="1" applyAlignment="1">
      <alignment horizontal="center" vertical="center"/>
    </xf>
    <xf numFmtId="185" fontId="6" fillId="33" borderId="52" xfId="0" applyNumberFormat="1" applyFont="1" applyFill="1" applyBorder="1" applyAlignment="1">
      <alignment horizontal="center" vertical="center"/>
    </xf>
    <xf numFmtId="185" fontId="6" fillId="33" borderId="50" xfId="0" applyNumberFormat="1" applyFont="1" applyFill="1" applyBorder="1" applyAlignment="1">
      <alignment horizontal="center" vertical="center"/>
    </xf>
    <xf numFmtId="0" fontId="6" fillId="0" borderId="39" xfId="0" applyFont="1" applyBorder="1" applyAlignment="1">
      <alignment horizontal="center" vertical="center"/>
    </xf>
    <xf numFmtId="166" fontId="6" fillId="33" borderId="49" xfId="0" applyNumberFormat="1" applyFont="1" applyFill="1" applyBorder="1" applyAlignment="1">
      <alignment horizontal="center" vertical="center"/>
    </xf>
    <xf numFmtId="166" fontId="0" fillId="0" borderId="51" xfId="0" applyNumberFormat="1" applyBorder="1" applyAlignment="1">
      <alignment horizontal="center" vertical="center"/>
    </xf>
    <xf numFmtId="0" fontId="6" fillId="33" borderId="40" xfId="0" applyFont="1" applyFill="1" applyBorder="1" applyAlignment="1">
      <alignment horizontal="center" vertical="center"/>
    </xf>
    <xf numFmtId="0" fontId="6" fillId="0" borderId="40" xfId="0" applyFont="1" applyBorder="1" applyAlignment="1">
      <alignment horizontal="center"/>
    </xf>
    <xf numFmtId="166" fontId="0" fillId="0" borderId="50" xfId="0" applyNumberFormat="1" applyBorder="1" applyAlignment="1">
      <alignment horizontal="center" vertical="center"/>
    </xf>
    <xf numFmtId="166" fontId="6" fillId="33" borderId="41" xfId="0" applyNumberFormat="1" applyFont="1" applyFill="1" applyBorder="1" applyAlignment="1">
      <alignment horizontal="center"/>
    </xf>
    <xf numFmtId="166" fontId="6" fillId="33" borderId="42" xfId="0" applyNumberFormat="1" applyFont="1" applyFill="1" applyBorder="1" applyAlignment="1">
      <alignment horizontal="center"/>
    </xf>
    <xf numFmtId="166" fontId="6" fillId="33" borderId="43" xfId="0" applyNumberFormat="1" applyFont="1" applyFill="1" applyBorder="1" applyAlignment="1">
      <alignment horizontal="center"/>
    </xf>
    <xf numFmtId="0" fontId="6" fillId="0" borderId="21" xfId="0" applyFont="1" applyBorder="1" applyAlignment="1">
      <alignment horizontal="right" vertical="center" wrapText="1" indent="1"/>
    </xf>
    <xf numFmtId="0" fontId="6" fillId="0" borderId="24" xfId="0" applyFont="1" applyBorder="1" applyAlignment="1">
      <alignment horizontal="right" vertical="center" indent="1"/>
    </xf>
    <xf numFmtId="0" fontId="6" fillId="0" borderId="25" xfId="0" applyFont="1" applyBorder="1" applyAlignment="1">
      <alignment horizontal="right" vertical="center" indent="1"/>
    </xf>
    <xf numFmtId="191" fontId="6" fillId="33" borderId="21" xfId="0" applyNumberFormat="1" applyFont="1" applyFill="1" applyBorder="1" applyAlignment="1">
      <alignment horizontal="center" vertical="center" wrapText="1"/>
    </xf>
    <xf numFmtId="0" fontId="12" fillId="0" borderId="0" xfId="0" applyFont="1" applyFill="1" applyBorder="1" applyAlignment="1">
      <alignment horizontal="right" indent="1"/>
    </xf>
    <xf numFmtId="0" fontId="13" fillId="33" borderId="40" xfId="0" applyFont="1" applyFill="1" applyBorder="1" applyAlignment="1">
      <alignment horizontal="center" vertical="center"/>
    </xf>
    <xf numFmtId="0" fontId="13" fillId="33" borderId="39" xfId="0" applyFont="1" applyFill="1" applyBorder="1" applyAlignment="1">
      <alignment horizontal="center" vertical="center"/>
    </xf>
    <xf numFmtId="166" fontId="6" fillId="33" borderId="52" xfId="0" applyNumberFormat="1" applyFont="1" applyFill="1" applyBorder="1" applyAlignment="1">
      <alignment horizontal="center" vertical="center"/>
    </xf>
    <xf numFmtId="166" fontId="6" fillId="33" borderId="50" xfId="0" applyNumberFormat="1" applyFont="1" applyFill="1" applyBorder="1" applyAlignment="1">
      <alignment horizontal="center" vertical="center"/>
    </xf>
    <xf numFmtId="0" fontId="13" fillId="0" borderId="40" xfId="0" applyFont="1" applyBorder="1" applyAlignment="1">
      <alignment/>
    </xf>
    <xf numFmtId="0" fontId="12" fillId="35" borderId="53" xfId="0" applyFont="1" applyFill="1" applyBorder="1" applyAlignment="1">
      <alignment horizontal="center" vertical="center" wrapText="1"/>
    </xf>
    <xf numFmtId="0" fontId="12" fillId="35" borderId="44" xfId="0" applyFont="1" applyFill="1" applyBorder="1" applyAlignment="1">
      <alignment horizontal="center" vertical="center"/>
    </xf>
    <xf numFmtId="0" fontId="12" fillId="35" borderId="53" xfId="0" applyFont="1" applyFill="1" applyBorder="1" applyAlignment="1">
      <alignment horizontal="center" vertical="center"/>
    </xf>
    <xf numFmtId="0" fontId="12" fillId="35" borderId="33" xfId="0" applyFont="1" applyFill="1" applyBorder="1" applyAlignment="1">
      <alignment horizontal="right" vertical="center" wrapText="1" indent="1"/>
    </xf>
    <xf numFmtId="0" fontId="12" fillId="35" borderId="54" xfId="0" applyFont="1" applyFill="1" applyBorder="1" applyAlignment="1">
      <alignment horizontal="right" vertical="center" indent="1"/>
    </xf>
    <xf numFmtId="0" fontId="12" fillId="35" borderId="0" xfId="0" applyFont="1" applyFill="1" applyBorder="1" applyAlignment="1">
      <alignment horizontal="right" vertical="center" indent="1"/>
    </xf>
    <xf numFmtId="0" fontId="12" fillId="35" borderId="25" xfId="0" applyFont="1" applyFill="1" applyBorder="1" applyAlignment="1">
      <alignment horizontal="right" vertical="center" indent="1"/>
    </xf>
    <xf numFmtId="0" fontId="12" fillId="35" borderId="0" xfId="0" applyFont="1" applyFill="1" applyAlignment="1">
      <alignment horizontal="right" vertical="center" wrapText="1" indent="1"/>
    </xf>
    <xf numFmtId="0" fontId="12" fillId="35" borderId="0" xfId="0" applyFont="1" applyFill="1" applyAlignment="1">
      <alignment horizontal="right" vertical="center" indent="1"/>
    </xf>
    <xf numFmtId="191" fontId="6" fillId="33" borderId="50" xfId="0" applyNumberFormat="1" applyFont="1" applyFill="1" applyBorder="1" applyAlignment="1">
      <alignment horizontal="center" vertical="center"/>
    </xf>
    <xf numFmtId="191" fontId="6" fillId="33" borderId="51" xfId="0" applyNumberFormat="1" applyFont="1" applyFill="1" applyBorder="1" applyAlignment="1">
      <alignment horizontal="center" vertical="center"/>
    </xf>
    <xf numFmtId="191" fontId="6" fillId="33" borderId="50" xfId="0" applyNumberFormat="1"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2" fillId="35" borderId="53" xfId="0" applyFont="1" applyFill="1" applyBorder="1" applyAlignment="1">
      <alignment/>
    </xf>
    <xf numFmtId="0" fontId="12" fillId="35" borderId="55" xfId="0" applyFont="1" applyFill="1" applyBorder="1" applyAlignment="1">
      <alignment/>
    </xf>
    <xf numFmtId="191" fontId="6" fillId="33" borderId="22" xfId="0" applyNumberFormat="1" applyFont="1" applyFill="1" applyBorder="1" applyAlignment="1">
      <alignment horizontal="center" vertical="center"/>
    </xf>
    <xf numFmtId="191" fontId="6" fillId="33" borderId="27" xfId="0" applyNumberFormat="1" applyFont="1" applyFill="1" applyBorder="1" applyAlignment="1">
      <alignment horizontal="center" vertical="center"/>
    </xf>
    <xf numFmtId="0" fontId="6" fillId="0" borderId="21" xfId="0" applyFont="1" applyBorder="1" applyAlignment="1">
      <alignment horizontal="left" vertical="center" indent="1"/>
    </xf>
    <xf numFmtId="0" fontId="6" fillId="0" borderId="23" xfId="0" applyFont="1" applyBorder="1" applyAlignment="1">
      <alignment horizontal="left" vertical="center" indent="1"/>
    </xf>
    <xf numFmtId="0" fontId="6" fillId="0" borderId="26" xfId="0" applyFont="1" applyBorder="1" applyAlignment="1">
      <alignment horizontal="left" vertical="center" indent="1"/>
    </xf>
    <xf numFmtId="0" fontId="6" fillId="0" borderId="28" xfId="0" applyFont="1" applyBorder="1" applyAlignment="1">
      <alignment horizontal="left" vertical="center" indent="1"/>
    </xf>
    <xf numFmtId="0" fontId="12" fillId="35" borderId="56" xfId="0" applyFont="1" applyFill="1" applyBorder="1" applyAlignment="1">
      <alignment/>
    </xf>
    <xf numFmtId="0" fontId="12" fillId="35" borderId="57" xfId="0" applyFont="1" applyFill="1" applyBorder="1" applyAlignment="1">
      <alignment/>
    </xf>
    <xf numFmtId="0" fontId="12" fillId="35" borderId="57" xfId="0" applyFont="1" applyFill="1" applyBorder="1" applyAlignment="1">
      <alignment horizontal="center" vertical="center"/>
    </xf>
    <xf numFmtId="0" fontId="12" fillId="35" borderId="45" xfId="0" applyFont="1" applyFill="1" applyBorder="1" applyAlignment="1">
      <alignment horizontal="center" vertical="center"/>
    </xf>
    <xf numFmtId="191" fontId="6" fillId="33" borderId="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0" fontId="6" fillId="0" borderId="24" xfId="0" applyFont="1" applyBorder="1" applyAlignment="1">
      <alignment horizontal="left" vertical="center" indent="1"/>
    </xf>
    <xf numFmtId="0" fontId="6" fillId="0" borderId="25" xfId="0" applyFont="1" applyBorder="1" applyAlignment="1">
      <alignment horizontal="left" vertical="center" indent="1"/>
    </xf>
    <xf numFmtId="0" fontId="6" fillId="0" borderId="50" xfId="0" applyFont="1" applyBorder="1" applyAlignment="1">
      <alignment horizontal="left" vertical="center" indent="1"/>
    </xf>
    <xf numFmtId="0" fontId="6" fillId="0" borderId="51" xfId="0" applyFont="1" applyBorder="1" applyAlignment="1">
      <alignment horizontal="left" vertical="center" indent="1"/>
    </xf>
    <xf numFmtId="0" fontId="6" fillId="0" borderId="50" xfId="0" applyFont="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Cash Flow</a:t>
            </a:r>
          </a:p>
        </c:rich>
      </c:tx>
      <c:layout>
        <c:manualLayout>
          <c:xMode val="factor"/>
          <c:yMode val="factor"/>
          <c:x val="-0.0025"/>
          <c:y val="-0.01075"/>
        </c:manualLayout>
      </c:layout>
      <c:spPr>
        <a:noFill/>
        <a:ln>
          <a:noFill/>
        </a:ln>
      </c:spPr>
    </c:title>
    <c:plotArea>
      <c:layout>
        <c:manualLayout>
          <c:xMode val="edge"/>
          <c:yMode val="edge"/>
          <c:x val="0.07225"/>
          <c:y val="0.095"/>
          <c:w val="0.89925"/>
          <c:h val="0.8045"/>
        </c:manualLayout>
      </c:layout>
      <c:barChart>
        <c:barDir val="col"/>
        <c:grouping val="clustered"/>
        <c:varyColors val="0"/>
        <c:ser>
          <c:idx val="0"/>
          <c:order val="0"/>
          <c:tx>
            <c:strRef>
              <c:f>Graphs!$G$7</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Graphs!$H$6:$K$6</c:f>
              <c:numCache/>
            </c:numRef>
          </c:cat>
          <c:val>
            <c:numRef>
              <c:f>Graphs!$H$7:$K$7</c:f>
              <c:numCache/>
            </c:numRef>
          </c:val>
        </c:ser>
        <c:gapWidth val="100"/>
        <c:axId val="4238926"/>
        <c:axId val="38150335"/>
      </c:barChart>
      <c:catAx>
        <c:axId val="4238926"/>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38150335"/>
        <c:crosses val="autoZero"/>
        <c:auto val="1"/>
        <c:lblOffset val="100"/>
        <c:tickLblSkip val="1"/>
        <c:noMultiLvlLbl val="0"/>
      </c:catAx>
      <c:valAx>
        <c:axId val="38150335"/>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23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89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Alt Proposal, a
</a:t>
            </a:r>
            <a:r>
              <a:rPr lang="en-US" cap="none" sz="1100" b="1" i="0" u="none" baseline="0">
                <a:solidFill>
                  <a:srgbClr val="000000"/>
                </a:solidFill>
              </a:rPr>
              <a:t>and Current State Cumulative CF</a:t>
            </a:r>
          </a:p>
        </c:rich>
      </c:tx>
      <c:layout>
        <c:manualLayout>
          <c:xMode val="factor"/>
          <c:yMode val="factor"/>
          <c:x val="-0.00475"/>
          <c:y val="-0.011"/>
        </c:manualLayout>
      </c:layout>
      <c:spPr>
        <a:noFill/>
        <a:ln>
          <a:noFill/>
        </a:ln>
      </c:spPr>
    </c:title>
    <c:plotArea>
      <c:layout>
        <c:manualLayout>
          <c:xMode val="edge"/>
          <c:yMode val="edge"/>
          <c:x val="0.07475"/>
          <c:y val="0.12175"/>
          <c:w val="0.56175"/>
          <c:h val="0.80125"/>
        </c:manualLayout>
      </c:layout>
      <c:barChart>
        <c:barDir val="col"/>
        <c:grouping val="clustered"/>
        <c:varyColors val="0"/>
        <c:ser>
          <c:idx val="0"/>
          <c:order val="0"/>
          <c:tx>
            <c:strRef>
              <c:f>Graphs!$G$93</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Graphs!$H$93:$K$93</c:f>
              <c:numCache/>
            </c:numRef>
          </c:val>
        </c:ser>
        <c:ser>
          <c:idx val="2"/>
          <c:order val="1"/>
          <c:tx>
            <c:strRef>
              <c:f>Graphs!$G$94</c:f>
              <c:strCache>
                <c:ptCount val="1"/>
                <c:pt idx="0">
                  <c:v>Alt Prop Cumul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Graphs!$H$94:$K$94</c:f>
              <c:numCache/>
            </c:numRef>
          </c:val>
        </c:ser>
        <c:ser>
          <c:idx val="1"/>
          <c:order val="2"/>
          <c:tx>
            <c:v>Curr State Cumul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Graphs!$H$92:$K$92</c:f>
              <c:numCache/>
            </c:numRef>
          </c:cat>
          <c:val>
            <c:numRef>
              <c:f>Graphs!$H$95:$K$95</c:f>
              <c:numCache/>
            </c:numRef>
          </c:val>
        </c:ser>
        <c:gapWidth val="100"/>
        <c:axId val="20896392"/>
        <c:axId val="53849801"/>
      </c:barChart>
      <c:catAx>
        <c:axId val="20896392"/>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53849801"/>
        <c:crosses val="autoZero"/>
        <c:auto val="1"/>
        <c:lblOffset val="100"/>
        <c:tickLblSkip val="1"/>
        <c:noMultiLvlLbl val="0"/>
      </c:catAx>
      <c:valAx>
        <c:axId val="53849801"/>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42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96392"/>
        <c:crossesAt val="1"/>
        <c:crossBetween val="between"/>
        <c:dispUnits/>
      </c:valAx>
      <c:spPr>
        <a:solidFill>
          <a:srgbClr val="FFFFFF"/>
        </a:solidFill>
        <a:ln w="3175">
          <a:noFill/>
        </a:ln>
      </c:spPr>
    </c:plotArea>
    <c:legend>
      <c:legendPos val="r"/>
      <c:layout>
        <c:manualLayout>
          <c:xMode val="edge"/>
          <c:yMode val="edge"/>
          <c:x val="0.041"/>
          <c:y val="0.92025"/>
          <c:w val="0.91775"/>
          <c:h val="0.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Cumulative Cash Flow</a:t>
            </a:r>
          </a:p>
        </c:rich>
      </c:tx>
      <c:layout>
        <c:manualLayout>
          <c:xMode val="factor"/>
          <c:yMode val="factor"/>
          <c:x val="-0.00475"/>
          <c:y val="-0.01075"/>
        </c:manualLayout>
      </c:layout>
      <c:spPr>
        <a:noFill/>
        <a:ln>
          <a:noFill/>
        </a:ln>
      </c:spPr>
    </c:title>
    <c:plotArea>
      <c:layout>
        <c:manualLayout>
          <c:xMode val="edge"/>
          <c:yMode val="edge"/>
          <c:x val="0.07225"/>
          <c:y val="0.095"/>
          <c:w val="0.89925"/>
          <c:h val="0.8045"/>
        </c:manualLayout>
      </c:layout>
      <c:barChart>
        <c:barDir val="col"/>
        <c:grouping val="clustered"/>
        <c:varyColors val="0"/>
        <c:ser>
          <c:idx val="0"/>
          <c:order val="0"/>
          <c:tx>
            <c:strRef>
              <c:f>Graphs!$G$10</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Graphs!$H$9:$K$9</c:f>
              <c:numCache/>
            </c:numRef>
          </c:cat>
          <c:val>
            <c:numRef>
              <c:f>Graphs!$H$10:$K$10</c:f>
              <c:numCache/>
            </c:numRef>
          </c:val>
        </c:ser>
        <c:gapWidth val="100"/>
        <c:axId val="7808696"/>
        <c:axId val="3169401"/>
      </c:barChart>
      <c:catAx>
        <c:axId val="7808696"/>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3169401"/>
        <c:crosses val="autoZero"/>
        <c:auto val="1"/>
        <c:lblOffset val="100"/>
        <c:tickLblSkip val="1"/>
        <c:noMultiLvlLbl val="0"/>
      </c:catAx>
      <c:valAx>
        <c:axId val="3169401"/>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23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8086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Alternate Proposal CF</a:t>
            </a:r>
          </a:p>
        </c:rich>
      </c:tx>
      <c:layout>
        <c:manualLayout>
          <c:xMode val="factor"/>
          <c:yMode val="factor"/>
          <c:x val="-0.0025"/>
          <c:y val="-0.01075"/>
        </c:manualLayout>
      </c:layout>
      <c:spPr>
        <a:noFill/>
        <a:ln>
          <a:noFill/>
        </a:ln>
      </c:spPr>
    </c:title>
    <c:plotArea>
      <c:layout>
        <c:manualLayout>
          <c:xMode val="edge"/>
          <c:yMode val="edge"/>
          <c:x val="0.07225"/>
          <c:y val="0.095"/>
          <c:w val="0.89925"/>
          <c:h val="0.8045"/>
        </c:manualLayout>
      </c:layout>
      <c:barChart>
        <c:barDir val="col"/>
        <c:grouping val="clustered"/>
        <c:varyColors val="0"/>
        <c:ser>
          <c:idx val="0"/>
          <c:order val="0"/>
          <c:tx>
            <c:strRef>
              <c:f>Graphs!$G$7</c:f>
              <c:strCache>
                <c:ptCount val="1"/>
                <c:pt idx="0">
                  <c:v>Proposal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Graphs!$H$26:$K$26</c:f>
              <c:numCache/>
            </c:numRef>
          </c:cat>
          <c:val>
            <c:numRef>
              <c:f>Graphs!$H$27:$K$27</c:f>
              <c:numCache/>
            </c:numRef>
          </c:val>
        </c:ser>
        <c:gapWidth val="100"/>
        <c:axId val="28524610"/>
        <c:axId val="55394899"/>
      </c:barChart>
      <c:catAx>
        <c:axId val="28524610"/>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55394899"/>
        <c:crosses val="autoZero"/>
        <c:auto val="1"/>
        <c:lblOffset val="100"/>
        <c:tickLblSkip val="1"/>
        <c:noMultiLvlLbl val="0"/>
      </c:catAx>
      <c:valAx>
        <c:axId val="55394899"/>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23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246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Alternate Proposal Cumulative CF</a:t>
            </a:r>
          </a:p>
        </c:rich>
      </c:tx>
      <c:layout>
        <c:manualLayout>
          <c:xMode val="factor"/>
          <c:yMode val="factor"/>
          <c:x val="-0.00475"/>
          <c:y val="-0.01075"/>
        </c:manualLayout>
      </c:layout>
      <c:spPr>
        <a:noFill/>
        <a:ln>
          <a:noFill/>
        </a:ln>
      </c:spPr>
    </c:title>
    <c:plotArea>
      <c:layout>
        <c:manualLayout>
          <c:xMode val="edge"/>
          <c:yMode val="edge"/>
          <c:x val="0.07225"/>
          <c:y val="0.095"/>
          <c:w val="0.89925"/>
          <c:h val="0.8045"/>
        </c:manualLayout>
      </c:layout>
      <c:barChart>
        <c:barDir val="col"/>
        <c:grouping val="clustered"/>
        <c:varyColors val="0"/>
        <c:ser>
          <c:idx val="0"/>
          <c:order val="0"/>
          <c:tx>
            <c:strRef>
              <c:f>Graphs!$G$10</c:f>
              <c:strCache>
                <c:ptCount val="1"/>
                <c:pt idx="0">
                  <c:v>Prop Cumul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Graphs!$H$29:$K$29</c:f>
              <c:numCache/>
            </c:numRef>
          </c:cat>
          <c:val>
            <c:numRef>
              <c:f>Graphs!$H$30:$K$30</c:f>
              <c:numCache/>
            </c:numRef>
          </c:val>
        </c:ser>
        <c:gapWidth val="100"/>
        <c:axId val="28792044"/>
        <c:axId val="57801805"/>
      </c:barChart>
      <c:catAx>
        <c:axId val="28792044"/>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57801805"/>
        <c:crosses val="autoZero"/>
        <c:auto val="1"/>
        <c:lblOffset val="100"/>
        <c:tickLblSkip val="1"/>
        <c:noMultiLvlLbl val="0"/>
      </c:catAx>
      <c:valAx>
        <c:axId val="57801805"/>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23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920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State Cash Flow</a:t>
            </a:r>
          </a:p>
        </c:rich>
      </c:tx>
      <c:layout>
        <c:manualLayout>
          <c:xMode val="factor"/>
          <c:yMode val="factor"/>
          <c:x val="0.0145"/>
          <c:y val="-0.01075"/>
        </c:manualLayout>
      </c:layout>
      <c:spPr>
        <a:noFill/>
        <a:ln>
          <a:noFill/>
        </a:ln>
      </c:spPr>
    </c:title>
    <c:plotArea>
      <c:layout>
        <c:manualLayout>
          <c:xMode val="edge"/>
          <c:yMode val="edge"/>
          <c:x val="0.07475"/>
          <c:y val="0.095"/>
          <c:w val="0.89775"/>
          <c:h val="0.8045"/>
        </c:manualLayout>
      </c:layout>
      <c:barChart>
        <c:barDir val="col"/>
        <c:grouping val="clustered"/>
        <c:varyColors val="0"/>
        <c:ser>
          <c:idx val="0"/>
          <c:order val="0"/>
          <c:tx>
            <c:strRef>
              <c:f>Graphs!$G$7</c:f>
              <c:strCache>
                <c:ptCount val="1"/>
                <c:pt idx="0">
                  <c:v>Proposal CF</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Graphs!$H$45:$K$45</c:f>
              <c:numCache/>
            </c:numRef>
          </c:cat>
          <c:val>
            <c:numRef>
              <c:f>Graphs!$H$46:$K$46</c:f>
              <c:numCache/>
            </c:numRef>
          </c:val>
        </c:ser>
        <c:gapWidth val="100"/>
        <c:axId val="50454198"/>
        <c:axId val="51434599"/>
      </c:barChart>
      <c:catAx>
        <c:axId val="5045419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00075"/>
            </c:manualLayout>
          </c:layout>
          <c:overlay val="0"/>
          <c:spPr>
            <a:noFill/>
            <a:ln>
              <a:noFill/>
            </a:ln>
          </c:spPr>
        </c:title>
        <c:delete val="0"/>
        <c:numFmt formatCode="General" sourceLinked="1"/>
        <c:majorTickMark val="out"/>
        <c:minorTickMark val="none"/>
        <c:tickLblPos val="low"/>
        <c:spPr>
          <a:ln w="3175">
            <a:solidFill>
              <a:srgbClr val="808080"/>
            </a:solidFill>
          </a:ln>
        </c:spPr>
        <c:crossAx val="51434599"/>
        <c:crosses val="autoZero"/>
        <c:auto val="1"/>
        <c:lblOffset val="100"/>
        <c:tickLblSkip val="1"/>
        <c:noMultiLvlLbl val="0"/>
      </c:catAx>
      <c:valAx>
        <c:axId val="51434599"/>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26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541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State Cumulative CF</a:t>
            </a:r>
          </a:p>
        </c:rich>
      </c:tx>
      <c:layout>
        <c:manualLayout>
          <c:xMode val="factor"/>
          <c:yMode val="factor"/>
          <c:x val="-0.00475"/>
          <c:y val="-0.01075"/>
        </c:manualLayout>
      </c:layout>
      <c:spPr>
        <a:noFill/>
        <a:ln>
          <a:noFill/>
        </a:ln>
      </c:spPr>
    </c:title>
    <c:plotArea>
      <c:layout>
        <c:manualLayout>
          <c:xMode val="edge"/>
          <c:yMode val="edge"/>
          <c:x val="0.07475"/>
          <c:y val="0.095"/>
          <c:w val="0.89775"/>
          <c:h val="0.8045"/>
        </c:manualLayout>
      </c:layout>
      <c:barChart>
        <c:barDir val="col"/>
        <c:grouping val="clustered"/>
        <c:varyColors val="0"/>
        <c:ser>
          <c:idx val="0"/>
          <c:order val="0"/>
          <c:tx>
            <c:strRef>
              <c:f>Graphs!$G$10</c:f>
              <c:strCache>
                <c:ptCount val="1"/>
                <c:pt idx="0">
                  <c:v>Prop Cumul CF</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Graphs!$H$48:$K$48</c:f>
              <c:numCache/>
            </c:numRef>
          </c:cat>
          <c:val>
            <c:numRef>
              <c:f>Graphs!$H$49:$K$49</c:f>
              <c:numCache/>
            </c:numRef>
          </c:val>
        </c:ser>
        <c:gapWidth val="100"/>
        <c:axId val="60258208"/>
        <c:axId val="5452961"/>
      </c:barChart>
      <c:catAx>
        <c:axId val="6025820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95"/>
              <c:y val="0.00075"/>
            </c:manualLayout>
          </c:layout>
          <c:overlay val="0"/>
          <c:spPr>
            <a:noFill/>
            <a:ln>
              <a:noFill/>
            </a:ln>
          </c:spPr>
        </c:title>
        <c:delete val="0"/>
        <c:numFmt formatCode="General" sourceLinked="1"/>
        <c:majorTickMark val="out"/>
        <c:minorTickMark val="none"/>
        <c:tickLblPos val="low"/>
        <c:spPr>
          <a:ln w="3175">
            <a:solidFill>
              <a:srgbClr val="808080"/>
            </a:solidFill>
          </a:ln>
        </c:spPr>
        <c:crossAx val="5452961"/>
        <c:crosses val="autoZero"/>
        <c:auto val="1"/>
        <c:lblOffset val="100"/>
        <c:tickLblSkip val="1"/>
        <c:noMultiLvlLbl val="0"/>
      </c:catAx>
      <c:valAx>
        <c:axId val="5452961"/>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26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582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and Current State CF</a:t>
            </a:r>
          </a:p>
        </c:rich>
      </c:tx>
      <c:layout>
        <c:manualLayout>
          <c:xMode val="factor"/>
          <c:yMode val="factor"/>
          <c:x val="0.06525"/>
          <c:y val="-0.009"/>
        </c:manualLayout>
      </c:layout>
      <c:spPr>
        <a:noFill/>
        <a:ln>
          <a:noFill/>
        </a:ln>
      </c:spPr>
    </c:title>
    <c:plotArea>
      <c:layout>
        <c:manualLayout>
          <c:xMode val="edge"/>
          <c:yMode val="edge"/>
          <c:x val="0.07475"/>
          <c:y val="0.07925"/>
          <c:w val="0.65"/>
          <c:h val="0.83725"/>
        </c:manualLayout>
      </c:layout>
      <c:barChart>
        <c:barDir val="col"/>
        <c:grouping val="clustered"/>
        <c:varyColors val="0"/>
        <c:ser>
          <c:idx val="0"/>
          <c:order val="0"/>
          <c:tx>
            <c:strRef>
              <c:f>Graphs!$G$65</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Graphs!$H$64:$K$64</c:f>
              <c:numCache/>
            </c:numRef>
          </c:cat>
          <c:val>
            <c:numRef>
              <c:f>Graphs!$H$65:$K$65</c:f>
              <c:numCache/>
            </c:numRef>
          </c:val>
        </c:ser>
        <c:ser>
          <c:idx val="1"/>
          <c:order val="1"/>
          <c:tx>
            <c:v>Current St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Graphs!$H$64:$K$64</c:f>
              <c:numCache/>
            </c:numRef>
          </c:cat>
          <c:val>
            <c:numRef>
              <c:f>Graphs!$H$66:$K$66</c:f>
              <c:numCache/>
            </c:numRef>
          </c:val>
        </c:ser>
        <c:gapWidth val="100"/>
        <c:axId val="49076650"/>
        <c:axId val="39036667"/>
      </c:barChart>
      <c:catAx>
        <c:axId val="49076650"/>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75"/>
              <c:y val="0.00125"/>
            </c:manualLayout>
          </c:layout>
          <c:overlay val="0"/>
          <c:spPr>
            <a:noFill/>
            <a:ln>
              <a:noFill/>
            </a:ln>
          </c:spPr>
        </c:title>
        <c:delete val="0"/>
        <c:numFmt formatCode="General" sourceLinked="1"/>
        <c:majorTickMark val="out"/>
        <c:minorTickMark val="none"/>
        <c:tickLblPos val="low"/>
        <c:spPr>
          <a:ln w="3175">
            <a:solidFill>
              <a:srgbClr val="808080"/>
            </a:solidFill>
          </a:ln>
        </c:spPr>
        <c:crossAx val="39036667"/>
        <c:crosses val="autoZero"/>
        <c:auto val="1"/>
        <c:lblOffset val="100"/>
        <c:tickLblSkip val="1"/>
        <c:noMultiLvlLbl val="0"/>
      </c:catAx>
      <c:valAx>
        <c:axId val="39036667"/>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37"/>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76650"/>
        <c:crossesAt val="1"/>
        <c:crossBetween val="between"/>
        <c:dispUnits/>
      </c:valAx>
      <c:spPr>
        <a:solidFill>
          <a:srgbClr val="FFFFFF"/>
        </a:solidFill>
        <a:ln w="3175">
          <a:noFill/>
        </a:ln>
      </c:spPr>
    </c:plotArea>
    <c:legend>
      <c:legendPos val="r"/>
      <c:layout>
        <c:manualLayout>
          <c:xMode val="edge"/>
          <c:yMode val="edge"/>
          <c:x val="0.2585"/>
          <c:y val="0.9135"/>
          <c:w val="0.47575"/>
          <c:h val="0.0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and Current State Cumulative CF</a:t>
            </a:r>
          </a:p>
        </c:rich>
      </c:tx>
      <c:layout>
        <c:manualLayout>
          <c:xMode val="factor"/>
          <c:yMode val="factor"/>
          <c:x val="-0.0025"/>
          <c:y val="-0.012"/>
        </c:manualLayout>
      </c:layout>
      <c:spPr>
        <a:noFill/>
        <a:ln>
          <a:noFill/>
        </a:ln>
      </c:spPr>
    </c:title>
    <c:plotArea>
      <c:layout>
        <c:manualLayout>
          <c:xMode val="edge"/>
          <c:yMode val="edge"/>
          <c:x val="0.07475"/>
          <c:y val="0.07925"/>
          <c:w val="0.56175"/>
          <c:h val="0.83725"/>
        </c:manualLayout>
      </c:layout>
      <c:barChart>
        <c:barDir val="col"/>
        <c:grouping val="clustered"/>
        <c:varyColors val="0"/>
        <c:ser>
          <c:idx val="0"/>
          <c:order val="0"/>
          <c:tx>
            <c:strRef>
              <c:f>Graphs!$G$69</c:f>
              <c:strCache>
                <c:ptCount val="1"/>
                <c:pt idx="0">
                  <c:v>Prop Cumul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Graphs!$H$68:$K$68</c:f>
              <c:numCache/>
            </c:numRef>
          </c:cat>
          <c:val>
            <c:numRef>
              <c:f>Graphs!$H$69:$K$69</c:f>
              <c:numCache/>
            </c:numRef>
          </c:val>
        </c:ser>
        <c:ser>
          <c:idx val="1"/>
          <c:order val="1"/>
          <c:tx>
            <c:v>Curr State Cumul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Graphs!$H$68:$K$68</c:f>
              <c:numCache/>
            </c:numRef>
          </c:cat>
          <c:val>
            <c:numRef>
              <c:f>Graphs!$H$70:$K$70</c:f>
              <c:numCache/>
            </c:numRef>
          </c:val>
        </c:ser>
        <c:gapWidth val="100"/>
        <c:axId val="15785684"/>
        <c:axId val="7853429"/>
      </c:barChart>
      <c:catAx>
        <c:axId val="15785684"/>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spPr>
          <a:ln w="3175">
            <a:solidFill>
              <a:srgbClr val="808080"/>
            </a:solidFill>
          </a:ln>
        </c:spPr>
        <c:crossAx val="7853429"/>
        <c:crosses val="autoZero"/>
        <c:auto val="1"/>
        <c:lblOffset val="100"/>
        <c:tickLblSkip val="1"/>
        <c:noMultiLvlLbl val="0"/>
      </c:catAx>
      <c:valAx>
        <c:axId val="7853429"/>
        <c:scaling>
          <c:orientation val="minMax"/>
        </c:scaling>
        <c:axPos val="l"/>
        <c:title>
          <c:tx>
            <c:rich>
              <a:bodyPr vert="horz" rot="-5400000" anchor="ctr"/>
              <a:lstStyle/>
              <a:p>
                <a:pPr algn="ctr">
                  <a:defRPr/>
                </a:pPr>
                <a:r>
                  <a:rPr lang="en-US" cap="none" sz="1000" b="1" i="0" u="none" baseline="0">
                    <a:solidFill>
                      <a:srgbClr val="000000"/>
                    </a:solidFill>
                  </a:rPr>
                  <a:t>Cumulative Cash Flow ($1,000s)</a:t>
                </a:r>
              </a:p>
            </c:rich>
          </c:tx>
          <c:layout>
            <c:manualLayout>
              <c:xMode val="factor"/>
              <c:yMode val="factor"/>
              <c:x val="-0.042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85684"/>
        <c:crossesAt val="1"/>
        <c:crossBetween val="between"/>
        <c:dispUnits/>
      </c:valAx>
      <c:spPr>
        <a:solidFill>
          <a:srgbClr val="FFFFFF"/>
        </a:solidFill>
        <a:ln w="3175">
          <a:noFill/>
        </a:ln>
      </c:spPr>
    </c:plotArea>
    <c:legend>
      <c:legendPos val="r"/>
      <c:layout>
        <c:manualLayout>
          <c:xMode val="edge"/>
          <c:yMode val="edge"/>
          <c:x val="0.1835"/>
          <c:y val="0.9135"/>
          <c:w val="0.6305"/>
          <c:h val="0.0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Proposal, Alt Proposal, &amp; Current State CF</a:t>
            </a:r>
          </a:p>
        </c:rich>
      </c:tx>
      <c:layout>
        <c:manualLayout>
          <c:xMode val="factor"/>
          <c:yMode val="factor"/>
          <c:x val="0.017"/>
          <c:y val="0"/>
        </c:manualLayout>
      </c:layout>
      <c:spPr>
        <a:noFill/>
        <a:ln>
          <a:noFill/>
        </a:ln>
      </c:spPr>
    </c:title>
    <c:plotArea>
      <c:layout>
        <c:manualLayout>
          <c:xMode val="edge"/>
          <c:yMode val="edge"/>
          <c:x val="0.07475"/>
          <c:y val="0.0755"/>
          <c:w val="0.625"/>
          <c:h val="0.8475"/>
        </c:manualLayout>
      </c:layout>
      <c:barChart>
        <c:barDir val="col"/>
        <c:grouping val="clustered"/>
        <c:varyColors val="0"/>
        <c:ser>
          <c:idx val="0"/>
          <c:order val="0"/>
          <c:tx>
            <c:strRef>
              <c:f>Graphs!$G$88</c:f>
              <c:strCache>
                <c:ptCount val="1"/>
                <c:pt idx="0">
                  <c:v>Proposal CF</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Graphs!$H$87:$K$87</c:f>
              <c:numCache/>
            </c:numRef>
          </c:cat>
          <c:val>
            <c:numRef>
              <c:f>Graphs!$H$88:$K$88</c:f>
              <c:numCache/>
            </c:numRef>
          </c:val>
        </c:ser>
        <c:ser>
          <c:idx val="2"/>
          <c:order val="1"/>
          <c:tx>
            <c:strRef>
              <c:f>Graphs!$G$89</c:f>
              <c:strCache>
                <c:ptCount val="1"/>
                <c:pt idx="0">
                  <c:v>Alt Proposal CF</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Graphs!$H$89:$K$89</c:f>
              <c:numCache/>
            </c:numRef>
          </c:val>
        </c:ser>
        <c:ser>
          <c:idx val="1"/>
          <c:order val="2"/>
          <c:tx>
            <c:v>Current St CF</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Graphs!$H$87:$K$87</c:f>
              <c:numCache/>
            </c:numRef>
          </c:cat>
          <c:val>
            <c:numRef>
              <c:f>Graphs!$H$90:$K$90</c:f>
              <c:numCache/>
            </c:numRef>
          </c:val>
        </c:ser>
        <c:gapWidth val="100"/>
        <c:axId val="3571998"/>
        <c:axId val="32147983"/>
      </c:barChart>
      <c:catAx>
        <c:axId val="3571998"/>
        <c:scaling>
          <c:orientation val="minMax"/>
        </c:scaling>
        <c:axPos val="b"/>
        <c:title>
          <c:tx>
            <c:rich>
              <a:bodyPr vert="horz" rot="0" anchor="ctr"/>
              <a:lstStyle/>
              <a:p>
                <a:pPr algn="ctr">
                  <a:defRPr/>
                </a:pPr>
                <a:r>
                  <a:rPr lang="en-US" cap="none" sz="1000" b="1" i="0" u="none" baseline="0">
                    <a:solidFill>
                      <a:srgbClr val="000000"/>
                    </a:solidFill>
                  </a:rPr>
                  <a:t>Fiscal Year</a:t>
                </a:r>
              </a:p>
            </c:rich>
          </c:tx>
          <c:layout>
            <c:manualLayout>
              <c:xMode val="factor"/>
              <c:yMode val="factor"/>
              <c:x val="-0.00675"/>
              <c:y val="0.00125"/>
            </c:manualLayout>
          </c:layout>
          <c:overlay val="0"/>
          <c:spPr>
            <a:noFill/>
            <a:ln>
              <a:noFill/>
            </a:ln>
          </c:spPr>
        </c:title>
        <c:delete val="0"/>
        <c:numFmt formatCode="General" sourceLinked="1"/>
        <c:majorTickMark val="out"/>
        <c:minorTickMark val="none"/>
        <c:tickLblPos val="low"/>
        <c:spPr>
          <a:ln w="3175">
            <a:solidFill>
              <a:srgbClr val="808080"/>
            </a:solidFill>
          </a:ln>
        </c:spPr>
        <c:crossAx val="32147983"/>
        <c:crosses val="autoZero"/>
        <c:auto val="1"/>
        <c:lblOffset val="100"/>
        <c:tickLblSkip val="1"/>
        <c:noMultiLvlLbl val="0"/>
      </c:catAx>
      <c:valAx>
        <c:axId val="32147983"/>
        <c:scaling>
          <c:orientation val="minMax"/>
        </c:scaling>
        <c:axPos val="l"/>
        <c:title>
          <c:tx>
            <c:rich>
              <a:bodyPr vert="horz" rot="-5400000" anchor="ctr"/>
              <a:lstStyle/>
              <a:p>
                <a:pPr algn="ctr">
                  <a:defRPr/>
                </a:pPr>
                <a:r>
                  <a:rPr lang="en-US" cap="none" sz="1000" b="1" i="0" u="none" baseline="0">
                    <a:solidFill>
                      <a:srgbClr val="000000"/>
                    </a:solidFill>
                  </a:rPr>
                  <a:t>Annual Cash Flow (1,000s)</a:t>
                </a:r>
              </a:p>
            </c:rich>
          </c:tx>
          <c:layout>
            <c:manualLayout>
              <c:xMode val="factor"/>
              <c:yMode val="factor"/>
              <c:x val="-0.038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1998"/>
        <c:crossesAt val="1"/>
        <c:crossBetween val="between"/>
        <c:dispUnits/>
      </c:valAx>
      <c:spPr>
        <a:solidFill>
          <a:srgbClr val="FFFFFF"/>
        </a:solidFill>
        <a:ln w="3175">
          <a:noFill/>
        </a:ln>
      </c:spPr>
    </c:plotArea>
    <c:legend>
      <c:legendPos val="r"/>
      <c:layout>
        <c:manualLayout>
          <c:xMode val="edge"/>
          <c:yMode val="edge"/>
          <c:x val="0.12075"/>
          <c:y val="0.92025"/>
          <c:w val="0.7535"/>
          <c:h val="0.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1</xdr:col>
      <xdr:colOff>4038600</xdr:colOff>
      <xdr:row>21</xdr:row>
      <xdr:rowOff>152400</xdr:rowOff>
    </xdr:to>
    <xdr:graphicFrame>
      <xdr:nvGraphicFramePr>
        <xdr:cNvPr id="1" name="Chart 2"/>
        <xdr:cNvGraphicFramePr/>
      </xdr:nvGraphicFramePr>
      <xdr:xfrm>
        <a:off x="295275" y="809625"/>
        <a:ext cx="4029075" cy="27432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5</xdr:row>
      <xdr:rowOff>0</xdr:rowOff>
    </xdr:from>
    <xdr:to>
      <xdr:col>3</xdr:col>
      <xdr:colOff>4029075</xdr:colOff>
      <xdr:row>21</xdr:row>
      <xdr:rowOff>152400</xdr:rowOff>
    </xdr:to>
    <xdr:graphicFrame>
      <xdr:nvGraphicFramePr>
        <xdr:cNvPr id="2" name="Chart 4"/>
        <xdr:cNvGraphicFramePr/>
      </xdr:nvGraphicFramePr>
      <xdr:xfrm>
        <a:off x="4648200" y="809625"/>
        <a:ext cx="40290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xdr:row>
      <xdr:rowOff>0</xdr:rowOff>
    </xdr:from>
    <xdr:to>
      <xdr:col>1</xdr:col>
      <xdr:colOff>4029075</xdr:colOff>
      <xdr:row>40</xdr:row>
      <xdr:rowOff>152400</xdr:rowOff>
    </xdr:to>
    <xdr:graphicFrame>
      <xdr:nvGraphicFramePr>
        <xdr:cNvPr id="3" name="Chart 5"/>
        <xdr:cNvGraphicFramePr/>
      </xdr:nvGraphicFramePr>
      <xdr:xfrm>
        <a:off x="285750" y="3886200"/>
        <a:ext cx="4029075" cy="2743200"/>
      </xdr:xfrm>
      <a:graphic>
        <a:graphicData uri="http://schemas.openxmlformats.org/drawingml/2006/chart">
          <c:chart xmlns:c="http://schemas.openxmlformats.org/drawingml/2006/chart" r:id="rId3"/>
        </a:graphicData>
      </a:graphic>
    </xdr:graphicFrame>
    <xdr:clientData/>
  </xdr:twoCellAnchor>
  <xdr:twoCellAnchor>
    <xdr:from>
      <xdr:col>2</xdr:col>
      <xdr:colOff>304800</xdr:colOff>
      <xdr:row>24</xdr:row>
      <xdr:rowOff>0</xdr:rowOff>
    </xdr:from>
    <xdr:to>
      <xdr:col>3</xdr:col>
      <xdr:colOff>4019550</xdr:colOff>
      <xdr:row>40</xdr:row>
      <xdr:rowOff>152400</xdr:rowOff>
    </xdr:to>
    <xdr:graphicFrame>
      <xdr:nvGraphicFramePr>
        <xdr:cNvPr id="4" name="Chart 6"/>
        <xdr:cNvGraphicFramePr/>
      </xdr:nvGraphicFramePr>
      <xdr:xfrm>
        <a:off x="4638675" y="3886200"/>
        <a:ext cx="4029075"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43</xdr:row>
      <xdr:rowOff>0</xdr:rowOff>
    </xdr:from>
    <xdr:to>
      <xdr:col>1</xdr:col>
      <xdr:colOff>4029075</xdr:colOff>
      <xdr:row>59</xdr:row>
      <xdr:rowOff>152400</xdr:rowOff>
    </xdr:to>
    <xdr:graphicFrame>
      <xdr:nvGraphicFramePr>
        <xdr:cNvPr id="5" name="Chart 7"/>
        <xdr:cNvGraphicFramePr/>
      </xdr:nvGraphicFramePr>
      <xdr:xfrm>
        <a:off x="285750" y="6962775"/>
        <a:ext cx="4029075" cy="2743200"/>
      </xdr:xfrm>
      <a:graphic>
        <a:graphicData uri="http://schemas.openxmlformats.org/drawingml/2006/chart">
          <c:chart xmlns:c="http://schemas.openxmlformats.org/drawingml/2006/chart" r:id="rId5"/>
        </a:graphicData>
      </a:graphic>
    </xdr:graphicFrame>
    <xdr:clientData/>
  </xdr:twoCellAnchor>
  <xdr:twoCellAnchor>
    <xdr:from>
      <xdr:col>2</xdr:col>
      <xdr:colOff>304800</xdr:colOff>
      <xdr:row>43</xdr:row>
      <xdr:rowOff>0</xdr:rowOff>
    </xdr:from>
    <xdr:to>
      <xdr:col>3</xdr:col>
      <xdr:colOff>4019550</xdr:colOff>
      <xdr:row>59</xdr:row>
      <xdr:rowOff>152400</xdr:rowOff>
    </xdr:to>
    <xdr:graphicFrame>
      <xdr:nvGraphicFramePr>
        <xdr:cNvPr id="6" name="Chart 8"/>
        <xdr:cNvGraphicFramePr/>
      </xdr:nvGraphicFramePr>
      <xdr:xfrm>
        <a:off x="4638675" y="6962775"/>
        <a:ext cx="4029075" cy="27432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61</xdr:row>
      <xdr:rowOff>114300</xdr:rowOff>
    </xdr:from>
    <xdr:to>
      <xdr:col>1</xdr:col>
      <xdr:colOff>4038600</xdr:colOff>
      <xdr:row>81</xdr:row>
      <xdr:rowOff>152400</xdr:rowOff>
    </xdr:to>
    <xdr:graphicFrame>
      <xdr:nvGraphicFramePr>
        <xdr:cNvPr id="7" name="Chart 9"/>
        <xdr:cNvGraphicFramePr/>
      </xdr:nvGraphicFramePr>
      <xdr:xfrm>
        <a:off x="295275" y="9991725"/>
        <a:ext cx="4029075" cy="3276600"/>
      </xdr:xfrm>
      <a:graphic>
        <a:graphicData uri="http://schemas.openxmlformats.org/drawingml/2006/chart">
          <c:chart xmlns:c="http://schemas.openxmlformats.org/drawingml/2006/chart" r:id="rId7"/>
        </a:graphicData>
      </a:graphic>
    </xdr:graphicFrame>
    <xdr:clientData/>
  </xdr:twoCellAnchor>
  <xdr:twoCellAnchor>
    <xdr:from>
      <xdr:col>3</xdr:col>
      <xdr:colOff>38100</xdr:colOff>
      <xdr:row>61</xdr:row>
      <xdr:rowOff>133350</xdr:rowOff>
    </xdr:from>
    <xdr:to>
      <xdr:col>4</xdr:col>
      <xdr:colOff>19050</xdr:colOff>
      <xdr:row>82</xdr:row>
      <xdr:rowOff>9525</xdr:rowOff>
    </xdr:to>
    <xdr:graphicFrame>
      <xdr:nvGraphicFramePr>
        <xdr:cNvPr id="8" name="Chart 10"/>
        <xdr:cNvGraphicFramePr/>
      </xdr:nvGraphicFramePr>
      <xdr:xfrm>
        <a:off x="4686300" y="10010775"/>
        <a:ext cx="4029075" cy="32766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83</xdr:row>
      <xdr:rowOff>161925</xdr:rowOff>
    </xdr:from>
    <xdr:to>
      <xdr:col>1</xdr:col>
      <xdr:colOff>4029075</xdr:colOff>
      <xdr:row>105</xdr:row>
      <xdr:rowOff>152400</xdr:rowOff>
    </xdr:to>
    <xdr:graphicFrame>
      <xdr:nvGraphicFramePr>
        <xdr:cNvPr id="9" name="Chart 11"/>
        <xdr:cNvGraphicFramePr/>
      </xdr:nvGraphicFramePr>
      <xdr:xfrm>
        <a:off x="285750" y="13601700"/>
        <a:ext cx="4029075" cy="3552825"/>
      </xdr:xfrm>
      <a:graphic>
        <a:graphicData uri="http://schemas.openxmlformats.org/drawingml/2006/chart">
          <c:chart xmlns:c="http://schemas.openxmlformats.org/drawingml/2006/chart" r:id="rId9"/>
        </a:graphicData>
      </a:graphic>
    </xdr:graphicFrame>
    <xdr:clientData/>
  </xdr:twoCellAnchor>
  <xdr:twoCellAnchor>
    <xdr:from>
      <xdr:col>3</xdr:col>
      <xdr:colOff>28575</xdr:colOff>
      <xdr:row>84</xdr:row>
      <xdr:rowOff>19050</xdr:rowOff>
    </xdr:from>
    <xdr:to>
      <xdr:col>4</xdr:col>
      <xdr:colOff>9525</xdr:colOff>
      <xdr:row>106</xdr:row>
      <xdr:rowOff>9525</xdr:rowOff>
    </xdr:to>
    <xdr:graphicFrame>
      <xdr:nvGraphicFramePr>
        <xdr:cNvPr id="10" name="Chart 12"/>
        <xdr:cNvGraphicFramePr/>
      </xdr:nvGraphicFramePr>
      <xdr:xfrm>
        <a:off x="4676775" y="13620750"/>
        <a:ext cx="4029075" cy="35528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B2:M83"/>
  <sheetViews>
    <sheetView showGridLines="0" tabSelected="1" showOutlineSymbols="0" zoomScalePageLayoutView="0" workbookViewId="0" topLeftCell="A1">
      <selection activeCell="H5" sqref="H5"/>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46</v>
      </c>
      <c r="D2" s="13"/>
      <c r="E2" s="2"/>
    </row>
    <row r="3" spans="2:8" ht="12.75" customHeight="1">
      <c r="B3" s="2"/>
      <c r="C3" s="2"/>
      <c r="D3" s="2"/>
      <c r="E3" s="2"/>
      <c r="H3" s="9" t="s">
        <v>6</v>
      </c>
    </row>
    <row r="4" spans="5:8" ht="12.75" customHeight="1">
      <c r="E4" s="12"/>
      <c r="H4" s="1"/>
    </row>
    <row r="5" spans="3:10" ht="12.75" customHeight="1">
      <c r="C5" s="20"/>
      <c r="G5" s="10" t="s">
        <v>22</v>
      </c>
      <c r="H5" s="35">
        <v>0</v>
      </c>
      <c r="J5" s="40" t="s">
        <v>74</v>
      </c>
    </row>
    <row r="6" spans="3:4" ht="12.75" customHeight="1">
      <c r="C6" s="9"/>
      <c r="D6" s="8" t="s">
        <v>56</v>
      </c>
    </row>
    <row r="7" spans="3:10" ht="12.75" customHeight="1">
      <c r="C7" s="9" t="s">
        <v>6</v>
      </c>
      <c r="D7" s="36">
        <v>39629</v>
      </c>
      <c r="E7" s="37">
        <v>39629</v>
      </c>
      <c r="F7" s="37">
        <v>39629</v>
      </c>
      <c r="G7" s="37">
        <v>39629</v>
      </c>
      <c r="H7" s="71" t="s">
        <v>0</v>
      </c>
      <c r="J7" s="40" t="s">
        <v>53</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34">
        <v>1200</v>
      </c>
      <c r="E11" s="34">
        <v>1800</v>
      </c>
      <c r="F11" s="34">
        <v>1900</v>
      </c>
      <c r="G11" s="34">
        <v>2150</v>
      </c>
      <c r="H11" s="22">
        <f>SUM(D11:G11)</f>
        <v>7050</v>
      </c>
      <c r="I11" s="4"/>
      <c r="K11" s="4"/>
      <c r="L11" s="4"/>
      <c r="M11" s="4"/>
    </row>
    <row r="12" spans="3:13" ht="12.75" customHeight="1">
      <c r="C12" s="1" t="s">
        <v>12</v>
      </c>
      <c r="D12" s="34">
        <v>45</v>
      </c>
      <c r="E12" s="34">
        <v>56</v>
      </c>
      <c r="F12" s="34">
        <v>57</v>
      </c>
      <c r="G12" s="34">
        <v>67</v>
      </c>
      <c r="H12" s="22">
        <f>SUM(D12:G12)</f>
        <v>225</v>
      </c>
      <c r="I12" s="4"/>
      <c r="K12" s="4"/>
      <c r="L12" s="4"/>
      <c r="M12" s="4"/>
    </row>
    <row r="13" spans="3:13" ht="12.75" customHeight="1">
      <c r="C13" s="1" t="s">
        <v>13</v>
      </c>
      <c r="D13" s="34">
        <v>20</v>
      </c>
      <c r="E13" s="34">
        <v>20</v>
      </c>
      <c r="F13" s="34">
        <v>20</v>
      </c>
      <c r="G13" s="34">
        <v>40</v>
      </c>
      <c r="H13" s="22">
        <f>SUM(D13:G13)</f>
        <v>100</v>
      </c>
      <c r="I13" s="4"/>
      <c r="J13" s="4"/>
      <c r="K13" s="4"/>
      <c r="L13" s="4"/>
      <c r="M13" s="4"/>
    </row>
    <row r="14" spans="3:13" ht="12.75" customHeight="1">
      <c r="C14" s="1" t="s">
        <v>14</v>
      </c>
      <c r="D14" s="34">
        <v>59</v>
      </c>
      <c r="E14" s="34">
        <v>61</v>
      </c>
      <c r="F14" s="34">
        <v>62</v>
      </c>
      <c r="G14" s="34">
        <v>67</v>
      </c>
      <c r="H14" s="22">
        <f>SUM(D14:G14)</f>
        <v>249</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1324</v>
      </c>
      <c r="E16" s="24">
        <f>SUM(E11:E14)</f>
        <v>1937</v>
      </c>
      <c r="F16" s="24">
        <f>SUM(F11:F14)</f>
        <v>2039</v>
      </c>
      <c r="G16" s="24">
        <f>SUM(G11:G14)</f>
        <v>2324</v>
      </c>
      <c r="H16" s="25">
        <f>SUM(H11:H14)</f>
        <v>7624</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34">
        <v>-100</v>
      </c>
      <c r="E21" s="34">
        <v>-120</v>
      </c>
      <c r="F21" s="34">
        <v>-125</v>
      </c>
      <c r="G21" s="34">
        <v>-60</v>
      </c>
      <c r="H21" s="22">
        <f>SUM(D21:G21)</f>
        <v>-405</v>
      </c>
      <c r="I21" s="4"/>
      <c r="J21" s="4"/>
      <c r="K21" s="4"/>
      <c r="L21" s="4"/>
      <c r="M21" s="4"/>
    </row>
    <row r="22" spans="3:13" ht="12.75" customHeight="1">
      <c r="C22" s="1" t="s">
        <v>27</v>
      </c>
      <c r="D22" s="34">
        <v>-400</v>
      </c>
      <c r="E22" s="34">
        <v>-120</v>
      </c>
      <c r="F22" s="34">
        <v>-100</v>
      </c>
      <c r="G22" s="34">
        <v>-40</v>
      </c>
      <c r="H22" s="22">
        <f>SUM(D22:G22)</f>
        <v>-660</v>
      </c>
      <c r="I22" s="4"/>
      <c r="J22" s="4"/>
      <c r="K22" s="4"/>
      <c r="L22" s="63"/>
      <c r="M22" s="4"/>
    </row>
    <row r="23" spans="3:13" ht="12.75" customHeight="1">
      <c r="C23" s="1" t="s">
        <v>28</v>
      </c>
      <c r="D23" s="34">
        <v>-30</v>
      </c>
      <c r="E23" s="34">
        <v>-40</v>
      </c>
      <c r="F23" s="34">
        <v>-50</v>
      </c>
      <c r="G23" s="34">
        <v>-60</v>
      </c>
      <c r="H23" s="22">
        <f>SUM(D23:G23)</f>
        <v>-180</v>
      </c>
      <c r="I23" s="4"/>
      <c r="J23" s="4"/>
      <c r="K23" s="4"/>
      <c r="L23" s="4"/>
      <c r="M23" s="4"/>
    </row>
    <row r="24" spans="4:13" ht="12.75" customHeight="1">
      <c r="D24" s="21"/>
      <c r="E24" s="21"/>
      <c r="F24" s="21"/>
      <c r="G24" s="21"/>
      <c r="H24" s="4"/>
      <c r="I24" s="4"/>
      <c r="J24" s="4"/>
      <c r="K24" s="4"/>
      <c r="L24" s="63"/>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34">
        <v>-60</v>
      </c>
      <c r="E27" s="34">
        <v>-60</v>
      </c>
      <c r="F27" s="34">
        <v>-60</v>
      </c>
      <c r="G27" s="34">
        <v>-60</v>
      </c>
      <c r="H27" s="22">
        <f>SUM(D27:G27)</f>
        <v>-240</v>
      </c>
      <c r="I27" s="4"/>
      <c r="J27" s="4"/>
      <c r="K27" s="4"/>
      <c r="L27" s="4"/>
      <c r="M27" s="4"/>
    </row>
    <row r="28" spans="3:13" ht="12.75" customHeight="1">
      <c r="C28" s="1" t="s">
        <v>31</v>
      </c>
      <c r="D28" s="34">
        <v>-80</v>
      </c>
      <c r="E28" s="34">
        <v>-95</v>
      </c>
      <c r="F28" s="34">
        <v>-100</v>
      </c>
      <c r="G28" s="34">
        <v>-110</v>
      </c>
      <c r="H28" s="22">
        <f>SUM(D28:G28)</f>
        <v>-385</v>
      </c>
      <c r="I28" s="4"/>
      <c r="J28" s="4"/>
      <c r="K28" s="4"/>
      <c r="L28" s="4"/>
      <c r="M28" s="4"/>
    </row>
    <row r="29" spans="3:13" ht="12.75" customHeight="1">
      <c r="C29" s="1" t="s">
        <v>32</v>
      </c>
      <c r="D29" s="34">
        <v>-20</v>
      </c>
      <c r="E29" s="34">
        <v>-23</v>
      </c>
      <c r="F29" s="34">
        <v>-25</v>
      </c>
      <c r="G29" s="34">
        <v>-30</v>
      </c>
      <c r="H29" s="22">
        <f>SUM(D29:G29)</f>
        <v>-98</v>
      </c>
      <c r="I29" s="4"/>
      <c r="J29" s="4"/>
      <c r="K29" s="4"/>
      <c r="L29" s="4"/>
      <c r="M29" s="4"/>
    </row>
    <row r="30" spans="3:13" ht="12.75" customHeight="1">
      <c r="C30" s="1" t="s">
        <v>33</v>
      </c>
      <c r="D30" s="34">
        <v>-40</v>
      </c>
      <c r="E30" s="34">
        <v>-40</v>
      </c>
      <c r="F30" s="34">
        <v>-60</v>
      </c>
      <c r="G30" s="34">
        <v>-70</v>
      </c>
      <c r="H30" s="22">
        <f>SUM(D30:G30)</f>
        <v>-210</v>
      </c>
      <c r="I30" s="4"/>
      <c r="J30" s="4"/>
      <c r="K30" s="4"/>
      <c r="L30" s="4"/>
      <c r="M30" s="4"/>
    </row>
    <row r="31" spans="3:13" ht="12.75" customHeight="1">
      <c r="C31" s="18" t="s">
        <v>10</v>
      </c>
      <c r="D31" s="21"/>
      <c r="E31" s="21"/>
      <c r="F31" s="21"/>
      <c r="G31" s="21"/>
      <c r="H31" s="26"/>
      <c r="I31" s="4"/>
      <c r="J31" s="4"/>
      <c r="K31" s="4"/>
      <c r="L31" s="4"/>
      <c r="M31" s="4"/>
    </row>
    <row r="32" spans="3:13" ht="12.75" customHeight="1">
      <c r="C32" s="1" t="s">
        <v>37</v>
      </c>
      <c r="D32" s="34">
        <v>-20</v>
      </c>
      <c r="E32" s="34">
        <v>-40</v>
      </c>
      <c r="F32" s="34">
        <v>-40</v>
      </c>
      <c r="G32" s="34">
        <v>-50</v>
      </c>
      <c r="H32" s="22">
        <f>SUM(D32:G32)</f>
        <v>-150</v>
      </c>
      <c r="I32" s="4"/>
      <c r="J32" s="4"/>
      <c r="K32" s="4"/>
      <c r="L32" s="4"/>
      <c r="M32" s="4"/>
    </row>
    <row r="33" spans="3:13" ht="12.75" customHeight="1">
      <c r="C33" s="1" t="s">
        <v>34</v>
      </c>
      <c r="D33" s="34">
        <v>-10</v>
      </c>
      <c r="E33" s="34">
        <v>-10</v>
      </c>
      <c r="F33" s="34">
        <v>-10</v>
      </c>
      <c r="G33" s="34">
        <v>-20</v>
      </c>
      <c r="H33" s="22">
        <f>SUM(D33:G33)</f>
        <v>-50</v>
      </c>
      <c r="I33" s="4"/>
      <c r="J33" s="4"/>
      <c r="K33" s="4"/>
      <c r="L33" s="4"/>
      <c r="M33" s="4"/>
    </row>
    <row r="34" spans="3:13" ht="12.75" customHeight="1">
      <c r="C34" s="18" t="s">
        <v>9</v>
      </c>
      <c r="D34" s="21"/>
      <c r="E34" s="21"/>
      <c r="F34" s="21"/>
      <c r="G34" s="21"/>
      <c r="H34" s="26"/>
      <c r="I34" s="4"/>
      <c r="J34" s="4"/>
      <c r="K34" s="4"/>
      <c r="L34" s="4"/>
      <c r="M34" s="4"/>
    </row>
    <row r="35" spans="3:13" ht="12.75" customHeight="1">
      <c r="C35" s="1" t="s">
        <v>43</v>
      </c>
      <c r="D35" s="34">
        <v>-50</v>
      </c>
      <c r="E35" s="34">
        <v>-50</v>
      </c>
      <c r="F35" s="34">
        <v>-50</v>
      </c>
      <c r="G35" s="34">
        <v>-50</v>
      </c>
      <c r="H35" s="22">
        <f>SUM(D35:G35)</f>
        <v>-200</v>
      </c>
      <c r="I35" s="4"/>
      <c r="J35" s="4"/>
      <c r="K35" s="4"/>
      <c r="L35" s="4"/>
      <c r="M35" s="4"/>
    </row>
    <row r="36" spans="3:13" ht="12.75" customHeight="1">
      <c r="C36" s="1" t="s">
        <v>42</v>
      </c>
      <c r="D36" s="34">
        <v>-30</v>
      </c>
      <c r="E36" s="34">
        <v>-30</v>
      </c>
      <c r="F36" s="34">
        <v>-30</v>
      </c>
      <c r="G36" s="34">
        <v>-30</v>
      </c>
      <c r="H36" s="22">
        <f>SUM(D36:G36)</f>
        <v>-120</v>
      </c>
      <c r="I36" s="4"/>
      <c r="J36" s="4"/>
      <c r="K36" s="4"/>
      <c r="L36" s="4"/>
      <c r="M36" s="4"/>
    </row>
    <row r="37" spans="3:13" ht="12.75" customHeight="1">
      <c r="C37" s="18" t="s">
        <v>35</v>
      </c>
      <c r="D37" s="21"/>
      <c r="E37" s="21"/>
      <c r="F37" s="21"/>
      <c r="G37" s="21"/>
      <c r="H37" s="23"/>
      <c r="I37" s="4"/>
      <c r="J37" s="4"/>
      <c r="K37" s="4"/>
      <c r="L37" s="4"/>
      <c r="M37" s="4"/>
    </row>
    <row r="38" spans="3:13" ht="12.75" customHeight="1">
      <c r="C38" s="19" t="s">
        <v>38</v>
      </c>
      <c r="D38" s="34">
        <v>-20</v>
      </c>
      <c r="E38" s="34">
        <v>-20</v>
      </c>
      <c r="F38" s="34">
        <v>-20</v>
      </c>
      <c r="G38" s="34">
        <v>-20</v>
      </c>
      <c r="H38" s="22">
        <f>SUM(D38:G38)</f>
        <v>-80</v>
      </c>
      <c r="I38" s="4"/>
      <c r="J38" s="4"/>
      <c r="K38" s="4"/>
      <c r="L38" s="4"/>
      <c r="M38" s="4"/>
    </row>
    <row r="39" spans="3:13" ht="12.75" customHeight="1">
      <c r="C39" s="19" t="s">
        <v>39</v>
      </c>
      <c r="D39" s="34">
        <v>-110</v>
      </c>
      <c r="E39" s="34">
        <v>-110</v>
      </c>
      <c r="F39" s="34">
        <v>-110</v>
      </c>
      <c r="G39" s="34">
        <v>-120</v>
      </c>
      <c r="H39" s="22">
        <f>SUM(D39:G39)</f>
        <v>-450</v>
      </c>
      <c r="I39" s="4"/>
      <c r="J39" s="4"/>
      <c r="K39" s="4"/>
      <c r="L39" s="4"/>
      <c r="M39" s="4"/>
    </row>
    <row r="40" spans="3:13" ht="12.75" customHeight="1">
      <c r="C40" s="19" t="s">
        <v>40</v>
      </c>
      <c r="D40" s="34">
        <v>-30</v>
      </c>
      <c r="E40" s="34">
        <v>-40</v>
      </c>
      <c r="F40" s="34">
        <v>-50</v>
      </c>
      <c r="G40" s="34">
        <v>-40</v>
      </c>
      <c r="H40" s="22">
        <f>SUM(D40:G40)</f>
        <v>-160</v>
      </c>
      <c r="I40" s="4"/>
      <c r="J40" s="4"/>
      <c r="K40" s="4"/>
      <c r="L40" s="4"/>
      <c r="M40" s="4"/>
    </row>
    <row r="41" spans="3:13" ht="12.75" customHeight="1">
      <c r="C41" s="19" t="s">
        <v>41</v>
      </c>
      <c r="D41" s="34">
        <v>-70</v>
      </c>
      <c r="E41" s="34">
        <v>-70</v>
      </c>
      <c r="F41" s="34">
        <v>-90</v>
      </c>
      <c r="G41" s="34">
        <v>-100</v>
      </c>
      <c r="H41" s="22">
        <f>SUM(D41:G41)</f>
        <v>-330</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-1070</v>
      </c>
      <c r="E44" s="24">
        <f>SUM(E20:E41)</f>
        <v>-868</v>
      </c>
      <c r="F44" s="24">
        <f>SUM(F20:F41)</f>
        <v>-920</v>
      </c>
      <c r="G44" s="24">
        <f>SUM(G20:G41)</f>
        <v>-860</v>
      </c>
      <c r="H44" s="25">
        <f>SUM(H20:H41)</f>
        <v>-3718</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1324</v>
      </c>
      <c r="E49" s="27">
        <f>E16</f>
        <v>1937</v>
      </c>
      <c r="F49" s="27">
        <f>F16</f>
        <v>2039</v>
      </c>
      <c r="G49" s="27">
        <f>G16</f>
        <v>2324</v>
      </c>
      <c r="H49" s="28">
        <f>H16</f>
        <v>7624</v>
      </c>
      <c r="I49" s="4"/>
      <c r="J49" s="4"/>
      <c r="K49" s="4"/>
      <c r="L49" s="4"/>
      <c r="M49" s="4"/>
    </row>
    <row r="50" spans="2:13" ht="12.75" customHeight="1">
      <c r="B50" s="3"/>
      <c r="C50" s="1" t="s">
        <v>17</v>
      </c>
      <c r="D50" s="27">
        <f>+D44</f>
        <v>-1070</v>
      </c>
      <c r="E50" s="27">
        <f>+E44</f>
        <v>-868</v>
      </c>
      <c r="F50" s="27">
        <f>+F44</f>
        <v>-920</v>
      </c>
      <c r="G50" s="27">
        <f>+G44</f>
        <v>-860</v>
      </c>
      <c r="H50" s="28">
        <f>SUM(D50:G50)</f>
        <v>-3718</v>
      </c>
      <c r="I50" s="4"/>
      <c r="J50" s="4"/>
      <c r="K50" s="4"/>
      <c r="L50" s="4"/>
      <c r="M50" s="4"/>
    </row>
    <row r="51" spans="3:13" ht="12.75" customHeight="1">
      <c r="C51" s="6" t="s">
        <v>4</v>
      </c>
      <c r="D51" s="29">
        <f>D49+D50</f>
        <v>254</v>
      </c>
      <c r="E51" s="29">
        <f>E49+E50</f>
        <v>1069</v>
      </c>
      <c r="F51" s="29">
        <f>F49+F50</f>
        <v>1119</v>
      </c>
      <c r="G51" s="29">
        <f>G49+G50</f>
        <v>1464</v>
      </c>
      <c r="H51" s="30">
        <f>H49+H50</f>
        <v>3906</v>
      </c>
      <c r="I51" s="11"/>
      <c r="J51" s="4"/>
      <c r="K51" s="4"/>
      <c r="L51" s="4"/>
      <c r="M51" s="4"/>
    </row>
    <row r="52" spans="3:13" ht="12.75" customHeight="1">
      <c r="C52" s="1" t="s">
        <v>21</v>
      </c>
      <c r="D52" s="27">
        <f>D51</f>
        <v>254</v>
      </c>
      <c r="E52" s="27">
        <f>E51+D52</f>
        <v>1323</v>
      </c>
      <c r="F52" s="27">
        <f>F51+E52</f>
        <v>2442</v>
      </c>
      <c r="G52" s="27">
        <f>G51+F52</f>
        <v>3906</v>
      </c>
      <c r="H52" s="28">
        <f>H51</f>
        <v>3906</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"&amp;FIXED(DCF_Rate_1*100,1)&amp;"%................................................"</f>
        <v>     At 0.0%................................................</v>
      </c>
      <c r="D55" s="27">
        <f>D51/(1+DCF_Rate_1)^1</f>
        <v>254</v>
      </c>
      <c r="E55" s="27">
        <f>E51/(1+DCF_Rate_1)^2</f>
        <v>1069</v>
      </c>
      <c r="F55" s="27">
        <f>F51/(1+DCF_Rate_1)^3</f>
        <v>1119</v>
      </c>
      <c r="G55" s="27">
        <f>G51/(1+DCF_Rate_1)^5</f>
        <v>1464</v>
      </c>
      <c r="H55" s="28">
        <f>SUM(D55:G55)</f>
        <v>3906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B2:M83"/>
  <sheetViews>
    <sheetView showGridLines="0" showOutlineSymbols="0" zoomScalePageLayoutView="0" workbookViewId="0" topLeftCell="A1">
      <selection activeCell="H5" sqref="H5"/>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54</v>
      </c>
      <c r="D2" s="13"/>
      <c r="E2" s="2"/>
    </row>
    <row r="3" spans="2:8" ht="12.75" customHeight="1">
      <c r="B3" s="2"/>
      <c r="C3" s="2"/>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53</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34">
        <v>900</v>
      </c>
      <c r="E11" s="34">
        <v>1200</v>
      </c>
      <c r="F11" s="34">
        <v>1500</v>
      </c>
      <c r="G11" s="34">
        <v>1750</v>
      </c>
      <c r="H11" s="22">
        <f>SUM(D11:G11)</f>
        <v>5350</v>
      </c>
      <c r="I11" s="4"/>
      <c r="K11" s="4"/>
      <c r="L11" s="4"/>
      <c r="M11" s="4"/>
    </row>
    <row r="12" spans="3:13" ht="12.75" customHeight="1">
      <c r="C12" s="1" t="s">
        <v>12</v>
      </c>
      <c r="D12" s="34">
        <v>42.6</v>
      </c>
      <c r="E12" s="34">
        <v>51</v>
      </c>
      <c r="F12" s="34">
        <v>59</v>
      </c>
      <c r="G12" s="34">
        <v>60</v>
      </c>
      <c r="H12" s="22">
        <f>SUM(D12:G12)</f>
        <v>212.6</v>
      </c>
      <c r="I12" s="4"/>
      <c r="J12" s="4"/>
      <c r="K12" s="4"/>
      <c r="L12" s="4"/>
      <c r="M12" s="4"/>
    </row>
    <row r="13" spans="3:13" ht="12.75" customHeight="1">
      <c r="C13" s="1" t="s">
        <v>13</v>
      </c>
      <c r="D13" s="34">
        <v>15</v>
      </c>
      <c r="E13" s="34">
        <v>14</v>
      </c>
      <c r="F13" s="34">
        <v>17</v>
      </c>
      <c r="G13" s="34">
        <v>30</v>
      </c>
      <c r="H13" s="22">
        <f>SUM(D13:G13)</f>
        <v>76</v>
      </c>
      <c r="I13" s="4"/>
      <c r="J13" s="4"/>
      <c r="K13" s="4"/>
      <c r="L13" s="4"/>
      <c r="M13" s="4"/>
    </row>
    <row r="14" spans="3:13" ht="12.75" customHeight="1">
      <c r="C14" s="1" t="s">
        <v>14</v>
      </c>
      <c r="D14" s="34">
        <v>43</v>
      </c>
      <c r="E14" s="34">
        <v>26</v>
      </c>
      <c r="F14" s="34">
        <v>29</v>
      </c>
      <c r="G14" s="34">
        <v>34</v>
      </c>
      <c r="H14" s="22">
        <f>SUM(D14:G14)</f>
        <v>132</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1000.6</v>
      </c>
      <c r="E16" s="24">
        <f>SUM(E11:E14)</f>
        <v>1291</v>
      </c>
      <c r="F16" s="24">
        <f>SUM(F11:F14)</f>
        <v>1605</v>
      </c>
      <c r="G16" s="24">
        <f>SUM(G11:G14)</f>
        <v>1874</v>
      </c>
      <c r="H16" s="25">
        <f>SUM(H11:H14)</f>
        <v>5770.6</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34">
        <v>-110</v>
      </c>
      <c r="E21" s="34">
        <v>-130</v>
      </c>
      <c r="F21" s="34">
        <v>-135</v>
      </c>
      <c r="G21" s="34">
        <v>-66</v>
      </c>
      <c r="H21" s="22">
        <f>SUM(D21:G21)</f>
        <v>-441</v>
      </c>
      <c r="I21" s="4"/>
      <c r="J21" s="4"/>
      <c r="K21" s="4"/>
      <c r="L21" s="4"/>
      <c r="M21" s="4"/>
    </row>
    <row r="22" spans="3:13" ht="12.75" customHeight="1">
      <c r="C22" s="1" t="s">
        <v>27</v>
      </c>
      <c r="D22" s="34">
        <v>-490</v>
      </c>
      <c r="E22" s="34">
        <v>-170</v>
      </c>
      <c r="F22" s="34">
        <v>-120</v>
      </c>
      <c r="G22" s="34">
        <v>-60</v>
      </c>
      <c r="H22" s="22">
        <f>SUM(D22:G22)</f>
        <v>-840</v>
      </c>
      <c r="I22" s="4"/>
      <c r="J22" s="4"/>
      <c r="K22" s="4"/>
      <c r="L22" s="4"/>
      <c r="M22" s="4"/>
    </row>
    <row r="23" spans="3:13" ht="12.75" customHeight="1">
      <c r="C23" s="1" t="s">
        <v>28</v>
      </c>
      <c r="D23" s="34">
        <v>-35</v>
      </c>
      <c r="E23" s="34">
        <v>-46</v>
      </c>
      <c r="F23" s="34">
        <v>-59</v>
      </c>
      <c r="G23" s="34">
        <v>-67</v>
      </c>
      <c r="H23" s="22">
        <f>SUM(D23:G23)</f>
        <v>-207</v>
      </c>
      <c r="I23" s="4"/>
      <c r="J23" s="4"/>
      <c r="K23" s="4"/>
      <c r="L23" s="4"/>
      <c r="M23" s="4"/>
    </row>
    <row r="24" spans="4:13" ht="12.75" customHeight="1">
      <c r="D24" s="21"/>
      <c r="E24" s="21"/>
      <c r="F24" s="21"/>
      <c r="G24" s="21"/>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34">
        <v>-60</v>
      </c>
      <c r="E27" s="34">
        <v>-60</v>
      </c>
      <c r="F27" s="34">
        <v>-60</v>
      </c>
      <c r="G27" s="34">
        <v>-60</v>
      </c>
      <c r="H27" s="22">
        <f>SUM(D27:G27)</f>
        <v>-240</v>
      </c>
      <c r="I27" s="4"/>
      <c r="J27" s="4"/>
      <c r="K27" s="4"/>
      <c r="L27" s="4"/>
      <c r="M27" s="4"/>
    </row>
    <row r="28" spans="3:13" ht="12.75" customHeight="1">
      <c r="C28" s="1" t="s">
        <v>31</v>
      </c>
      <c r="D28" s="34">
        <v>-89</v>
      </c>
      <c r="E28" s="34">
        <v>-100</v>
      </c>
      <c r="F28" s="34">
        <v>-110</v>
      </c>
      <c r="G28" s="34">
        <v>-110</v>
      </c>
      <c r="H28" s="22">
        <f>SUM(D28:G28)</f>
        <v>-409</v>
      </c>
      <c r="I28" s="4"/>
      <c r="J28" s="4"/>
      <c r="K28" s="4"/>
      <c r="L28" s="4"/>
      <c r="M28" s="4"/>
    </row>
    <row r="29" spans="3:13" ht="12.75" customHeight="1">
      <c r="C29" s="1" t="s">
        <v>32</v>
      </c>
      <c r="D29" s="34">
        <v>-25</v>
      </c>
      <c r="E29" s="34">
        <v>-33</v>
      </c>
      <c r="F29" s="34">
        <v>-34</v>
      </c>
      <c r="G29" s="34">
        <v>-50</v>
      </c>
      <c r="H29" s="22">
        <f>SUM(D29:G29)</f>
        <v>-142</v>
      </c>
      <c r="I29" s="4"/>
      <c r="J29" s="4"/>
      <c r="K29" s="4"/>
      <c r="L29" s="4"/>
      <c r="M29" s="4"/>
    </row>
    <row r="30" spans="3:13" ht="12.75" customHeight="1">
      <c r="C30" s="1" t="s">
        <v>33</v>
      </c>
      <c r="D30" s="34">
        <v>-40</v>
      </c>
      <c r="E30" s="34">
        <v>-40</v>
      </c>
      <c r="F30" s="34">
        <v>-60</v>
      </c>
      <c r="G30" s="34">
        <v>-70</v>
      </c>
      <c r="H30" s="22">
        <f>SUM(D30:G30)</f>
        <v>-210</v>
      </c>
      <c r="I30" s="4"/>
      <c r="J30" s="4"/>
      <c r="K30" s="4"/>
      <c r="L30" s="4"/>
      <c r="M30" s="4"/>
    </row>
    <row r="31" spans="3:13" ht="12.75" customHeight="1">
      <c r="C31" s="18" t="s">
        <v>10</v>
      </c>
      <c r="D31" s="21"/>
      <c r="E31" s="21"/>
      <c r="F31" s="21"/>
      <c r="G31" s="21"/>
      <c r="H31" s="26"/>
      <c r="I31" s="4"/>
      <c r="J31" s="4"/>
      <c r="K31" s="4"/>
      <c r="L31" s="4"/>
      <c r="M31" s="4"/>
    </row>
    <row r="32" spans="3:13" ht="12.75" customHeight="1">
      <c r="C32" s="1" t="s">
        <v>37</v>
      </c>
      <c r="D32" s="34">
        <v>-20</v>
      </c>
      <c r="E32" s="34">
        <v>-50</v>
      </c>
      <c r="F32" s="34">
        <v>-40</v>
      </c>
      <c r="G32" s="34">
        <v>-60</v>
      </c>
      <c r="H32" s="22">
        <f>SUM(D32:G32)</f>
        <v>-170</v>
      </c>
      <c r="I32" s="4"/>
      <c r="J32" s="4"/>
      <c r="K32" s="4"/>
      <c r="L32" s="4"/>
      <c r="M32" s="4"/>
    </row>
    <row r="33" spans="3:13" ht="12.75" customHeight="1">
      <c r="C33" s="1" t="s">
        <v>34</v>
      </c>
      <c r="D33" s="34">
        <v>-10</v>
      </c>
      <c r="E33" s="34">
        <v>-30</v>
      </c>
      <c r="F33" s="34">
        <v>-10</v>
      </c>
      <c r="G33" s="34">
        <v>-20</v>
      </c>
      <c r="H33" s="22">
        <f>SUM(D33:G33)</f>
        <v>-70</v>
      </c>
      <c r="I33" s="4"/>
      <c r="J33" s="4"/>
      <c r="K33" s="4"/>
      <c r="L33" s="4"/>
      <c r="M33" s="4"/>
    </row>
    <row r="34" spans="3:13" ht="12.75" customHeight="1">
      <c r="C34" s="18" t="s">
        <v>9</v>
      </c>
      <c r="D34" s="21"/>
      <c r="E34" s="21"/>
      <c r="F34" s="21"/>
      <c r="G34" s="21"/>
      <c r="H34" s="26"/>
      <c r="I34" s="4"/>
      <c r="J34" s="4"/>
      <c r="K34" s="4"/>
      <c r="L34" s="4"/>
      <c r="M34" s="4"/>
    </row>
    <row r="35" spans="3:13" ht="12.75" customHeight="1">
      <c r="C35" s="1" t="s">
        <v>43</v>
      </c>
      <c r="D35" s="34">
        <v>-50</v>
      </c>
      <c r="E35" s="34">
        <v>-50</v>
      </c>
      <c r="F35" s="34">
        <v>-60</v>
      </c>
      <c r="G35" s="34">
        <v>-50</v>
      </c>
      <c r="H35" s="22">
        <f>SUM(D35:G35)</f>
        <v>-210</v>
      </c>
      <c r="I35" s="4"/>
      <c r="J35" s="4"/>
      <c r="K35" s="4"/>
      <c r="L35" s="4"/>
      <c r="M35" s="4"/>
    </row>
    <row r="36" spans="3:13" ht="12.75" customHeight="1">
      <c r="C36" s="1" t="s">
        <v>42</v>
      </c>
      <c r="D36" s="34">
        <v>-30</v>
      </c>
      <c r="E36" s="34">
        <v>-30</v>
      </c>
      <c r="F36" s="34">
        <v>-30</v>
      </c>
      <c r="G36" s="34">
        <v>-50</v>
      </c>
      <c r="H36" s="22">
        <f>SUM(D36:G36)</f>
        <v>-140</v>
      </c>
      <c r="I36" s="4"/>
      <c r="J36" s="4"/>
      <c r="K36" s="4"/>
      <c r="L36" s="4"/>
      <c r="M36" s="4"/>
    </row>
    <row r="37" spans="3:13" ht="12.75" customHeight="1">
      <c r="C37" s="18" t="s">
        <v>35</v>
      </c>
      <c r="D37" s="21"/>
      <c r="E37" s="21"/>
      <c r="F37" s="21"/>
      <c r="G37" s="21"/>
      <c r="H37" s="23"/>
      <c r="I37" s="4"/>
      <c r="J37" s="4"/>
      <c r="K37" s="4"/>
      <c r="L37" s="4"/>
      <c r="M37" s="4"/>
    </row>
    <row r="38" spans="3:13" ht="12.75" customHeight="1">
      <c r="C38" s="19" t="s">
        <v>38</v>
      </c>
      <c r="D38" s="34">
        <v>-20</v>
      </c>
      <c r="E38" s="34">
        <v>-28</v>
      </c>
      <c r="F38" s="34">
        <v>-30</v>
      </c>
      <c r="G38" s="34">
        <v>-40</v>
      </c>
      <c r="H38" s="22">
        <f>SUM(D38:G38)</f>
        <v>-118</v>
      </c>
      <c r="I38" s="4"/>
      <c r="J38" s="4"/>
      <c r="K38" s="4"/>
      <c r="L38" s="4"/>
      <c r="M38" s="4"/>
    </row>
    <row r="39" spans="3:13" ht="12.75" customHeight="1">
      <c r="C39" s="19" t="s">
        <v>39</v>
      </c>
      <c r="D39" s="34">
        <v>-120</v>
      </c>
      <c r="E39" s="34">
        <v>-120</v>
      </c>
      <c r="F39" s="34">
        <v>-120</v>
      </c>
      <c r="G39" s="34">
        <v>-140</v>
      </c>
      <c r="H39" s="22">
        <f>SUM(D39:G39)</f>
        <v>-500</v>
      </c>
      <c r="I39" s="4"/>
      <c r="J39" s="4"/>
      <c r="K39" s="4"/>
      <c r="L39" s="4"/>
      <c r="M39" s="4"/>
    </row>
    <row r="40" spans="3:13" ht="12.75" customHeight="1">
      <c r="C40" s="19" t="s">
        <v>40</v>
      </c>
      <c r="D40" s="34">
        <v>-30</v>
      </c>
      <c r="E40" s="34">
        <v>-40</v>
      </c>
      <c r="F40" s="34">
        <v>-50</v>
      </c>
      <c r="G40" s="34">
        <v>-40</v>
      </c>
      <c r="H40" s="22">
        <f>SUM(D40:G40)</f>
        <v>-160</v>
      </c>
      <c r="I40" s="4"/>
      <c r="J40" s="4"/>
      <c r="K40" s="4"/>
      <c r="L40" s="4"/>
      <c r="M40" s="4"/>
    </row>
    <row r="41" spans="3:13" ht="12.75" customHeight="1">
      <c r="C41" s="19" t="s">
        <v>41</v>
      </c>
      <c r="D41" s="34">
        <v>-70</v>
      </c>
      <c r="E41" s="34">
        <v>-70</v>
      </c>
      <c r="F41" s="34">
        <v>-90</v>
      </c>
      <c r="G41" s="34">
        <v>-100</v>
      </c>
      <c r="H41" s="22">
        <f>SUM(D41:G41)</f>
        <v>-330</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-1199</v>
      </c>
      <c r="E44" s="24">
        <f>SUM(E20:E41)</f>
        <v>-997</v>
      </c>
      <c r="F44" s="24">
        <f>SUM(F20:F41)</f>
        <v>-1008</v>
      </c>
      <c r="G44" s="24">
        <f>SUM(G20:G41)</f>
        <v>-983</v>
      </c>
      <c r="H44" s="25">
        <f>SUM(H20:H41)</f>
        <v>-4187</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1000.6</v>
      </c>
      <c r="E49" s="27">
        <f>E16</f>
        <v>1291</v>
      </c>
      <c r="F49" s="27">
        <f>F16</f>
        <v>1605</v>
      </c>
      <c r="G49" s="27">
        <f>G16</f>
        <v>1874</v>
      </c>
      <c r="H49" s="28">
        <f>H16</f>
        <v>5770.6</v>
      </c>
      <c r="I49" s="4"/>
      <c r="J49" s="4"/>
      <c r="K49" s="4"/>
      <c r="L49" s="4"/>
      <c r="M49" s="4"/>
    </row>
    <row r="50" spans="2:13" ht="12.75" customHeight="1">
      <c r="B50" s="3"/>
      <c r="C50" s="1" t="s">
        <v>17</v>
      </c>
      <c r="D50" s="27">
        <f>+D44</f>
        <v>-1199</v>
      </c>
      <c r="E50" s="27">
        <f>+E44</f>
        <v>-997</v>
      </c>
      <c r="F50" s="27">
        <f>+F44</f>
        <v>-1008</v>
      </c>
      <c r="G50" s="27">
        <f>+G44</f>
        <v>-983</v>
      </c>
      <c r="H50" s="28">
        <f>SUM(D50:G50)</f>
        <v>-4187</v>
      </c>
      <c r="I50" s="4"/>
      <c r="J50" s="4"/>
      <c r="K50" s="4"/>
      <c r="L50" s="4"/>
      <c r="M50" s="4"/>
    </row>
    <row r="51" spans="3:13" ht="12.75" customHeight="1">
      <c r="C51" s="6" t="s">
        <v>4</v>
      </c>
      <c r="D51" s="29">
        <f>D49+D50</f>
        <v>-198.39999999999998</v>
      </c>
      <c r="E51" s="29">
        <f>E49+E50</f>
        <v>294</v>
      </c>
      <c r="F51" s="29">
        <f>F49+F50</f>
        <v>597</v>
      </c>
      <c r="G51" s="29">
        <f>G49+G50</f>
        <v>891</v>
      </c>
      <c r="H51" s="30">
        <f>H49+H50</f>
        <v>1583.6000000000004</v>
      </c>
      <c r="I51" s="11"/>
      <c r="J51" s="4"/>
      <c r="K51" s="4"/>
      <c r="L51" s="4"/>
      <c r="M51" s="4"/>
    </row>
    <row r="52" spans="3:13" ht="12.75" customHeight="1">
      <c r="C52" s="1" t="s">
        <v>21</v>
      </c>
      <c r="D52" s="27">
        <f>D51</f>
        <v>-198.39999999999998</v>
      </c>
      <c r="E52" s="27">
        <f>E51+D52</f>
        <v>95.60000000000002</v>
      </c>
      <c r="F52" s="27">
        <f>F51+E52</f>
        <v>692.6</v>
      </c>
      <c r="G52" s="27">
        <f>G51+F52</f>
        <v>1583.6</v>
      </c>
      <c r="H52" s="28">
        <f>H51</f>
        <v>1583.6000000000004</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-198.39999999999998</v>
      </c>
      <c r="E55" s="27">
        <f>E51/(1+ProposalCF!DCF_Rate_1)^2</f>
        <v>294</v>
      </c>
      <c r="F55" s="27">
        <f>F51/(1+ProposalCF!DCF_Rate_1)^3</f>
        <v>597</v>
      </c>
      <c r="G55" s="27">
        <f>G51/(1+ProposalCF!DCF_Rate_1)^4</f>
        <v>891</v>
      </c>
      <c r="H55" s="28">
        <f>SUM(D55:G55)</f>
        <v>1583.6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B2:M84"/>
  <sheetViews>
    <sheetView showGridLines="0" showOutlineSymbols="0" zoomScalePageLayoutView="0" workbookViewId="0" topLeftCell="A1">
      <selection activeCell="A1" sqref="A1"/>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57</v>
      </c>
      <c r="D2" s="13"/>
      <c r="E2" s="2"/>
    </row>
    <row r="3" spans="2:8" ht="12.75" customHeight="1">
      <c r="B3" s="2"/>
      <c r="C3" s="2"/>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53</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3:13" ht="12.75" customHeight="1">
      <c r="C10" s="3"/>
      <c r="D10" s="4"/>
      <c r="E10" s="4"/>
      <c r="F10" s="4"/>
      <c r="G10" s="4"/>
      <c r="H10" s="4"/>
      <c r="I10" s="4"/>
      <c r="J10" s="41" t="s">
        <v>48</v>
      </c>
      <c r="K10" s="4"/>
      <c r="L10" s="4"/>
      <c r="M10" s="4"/>
    </row>
    <row r="11" spans="3:13" ht="12.75" customHeight="1">
      <c r="C11" s="1" t="s">
        <v>11</v>
      </c>
      <c r="D11" s="34">
        <v>300</v>
      </c>
      <c r="E11" s="34">
        <v>400</v>
      </c>
      <c r="F11" s="34">
        <v>700</v>
      </c>
      <c r="G11" s="34">
        <v>750</v>
      </c>
      <c r="H11" s="22">
        <f>SUM(D11:G11)</f>
        <v>2150</v>
      </c>
      <c r="I11" s="4"/>
      <c r="J11" s="4"/>
      <c r="K11" s="4"/>
      <c r="L11" s="4"/>
      <c r="M11" s="4"/>
    </row>
    <row r="12" spans="3:13" ht="12.75" customHeight="1">
      <c r="C12" s="1" t="s">
        <v>12</v>
      </c>
      <c r="D12" s="34">
        <v>30</v>
      </c>
      <c r="E12" s="34">
        <v>30</v>
      </c>
      <c r="F12" s="34">
        <v>34</v>
      </c>
      <c r="G12" s="34">
        <v>34</v>
      </c>
      <c r="H12" s="22">
        <f>SUM(D12:G12)</f>
        <v>128</v>
      </c>
      <c r="I12" s="4"/>
      <c r="K12" s="4"/>
      <c r="L12" s="4"/>
      <c r="M12" s="4"/>
    </row>
    <row r="13" spans="3:13" ht="12.75" customHeight="1">
      <c r="C13" s="1" t="s">
        <v>13</v>
      </c>
      <c r="D13" s="34">
        <v>12</v>
      </c>
      <c r="E13" s="34">
        <v>12</v>
      </c>
      <c r="F13" s="34">
        <v>12</v>
      </c>
      <c r="G13" s="34">
        <v>12</v>
      </c>
      <c r="H13" s="22">
        <f>SUM(D13:G13)</f>
        <v>48</v>
      </c>
      <c r="I13" s="4"/>
      <c r="J13" s="4"/>
      <c r="K13" s="4"/>
      <c r="L13" s="4"/>
      <c r="M13" s="4"/>
    </row>
    <row r="14" spans="3:13" ht="12.75" customHeight="1">
      <c r="C14" s="1" t="s">
        <v>14</v>
      </c>
      <c r="D14" s="34">
        <v>25</v>
      </c>
      <c r="E14" s="34">
        <v>26</v>
      </c>
      <c r="F14" s="34">
        <v>26</v>
      </c>
      <c r="G14" s="34">
        <v>26</v>
      </c>
      <c r="H14" s="22">
        <f>SUM(D14:G14)</f>
        <v>103</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367</v>
      </c>
      <c r="E16" s="24">
        <f>SUM(E11:E14)</f>
        <v>468</v>
      </c>
      <c r="F16" s="24">
        <f>SUM(F11:F14)</f>
        <v>772</v>
      </c>
      <c r="G16" s="24">
        <f>SUM(G11:G14)</f>
        <v>822</v>
      </c>
      <c r="H16" s="25">
        <f>SUM(H11:H14)</f>
        <v>2429</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34">
        <v>-120</v>
      </c>
      <c r="E21" s="34">
        <v>-150</v>
      </c>
      <c r="F21" s="34">
        <v>-160</v>
      </c>
      <c r="G21" s="34">
        <v>-100</v>
      </c>
      <c r="H21" s="22">
        <f>SUM(D21:G21)</f>
        <v>-530</v>
      </c>
      <c r="I21" s="4"/>
      <c r="J21" s="4"/>
      <c r="K21" s="4"/>
      <c r="L21" s="4"/>
      <c r="M21" s="4"/>
    </row>
    <row r="22" spans="3:13" ht="12.75" customHeight="1">
      <c r="C22" s="1" t="s">
        <v>27</v>
      </c>
      <c r="D22" s="34">
        <v>-500</v>
      </c>
      <c r="E22" s="34">
        <v>-180</v>
      </c>
      <c r="F22" s="34">
        <v>-130</v>
      </c>
      <c r="G22" s="34">
        <v>-70</v>
      </c>
      <c r="H22" s="22">
        <f>SUM(D22:G22)</f>
        <v>-880</v>
      </c>
      <c r="I22" s="4"/>
      <c r="J22" s="4"/>
      <c r="K22" s="4"/>
      <c r="L22" s="4"/>
      <c r="M22" s="4"/>
    </row>
    <row r="23" spans="3:13" ht="12.75" customHeight="1">
      <c r="C23" s="1" t="s">
        <v>28</v>
      </c>
      <c r="D23" s="34">
        <v>-50</v>
      </c>
      <c r="E23" s="34">
        <v>-50</v>
      </c>
      <c r="F23" s="34">
        <v>-70</v>
      </c>
      <c r="G23" s="34">
        <v>-90</v>
      </c>
      <c r="H23" s="22">
        <f>SUM(D23:G23)</f>
        <v>-260</v>
      </c>
      <c r="I23" s="4"/>
      <c r="J23" s="4"/>
      <c r="K23" s="4"/>
      <c r="L23" s="4"/>
      <c r="M23" s="4"/>
    </row>
    <row r="24" spans="4:13" ht="12.75" customHeight="1">
      <c r="D24" s="21"/>
      <c r="E24" s="21"/>
      <c r="F24" s="21"/>
      <c r="G24" s="21"/>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34">
        <v>-80</v>
      </c>
      <c r="E27" s="34">
        <v>-80</v>
      </c>
      <c r="F27" s="34">
        <v>-80</v>
      </c>
      <c r="G27" s="34">
        <v>-80</v>
      </c>
      <c r="H27" s="22">
        <f>SUM(D27:G27)</f>
        <v>-320</v>
      </c>
      <c r="I27" s="4"/>
      <c r="J27" s="4"/>
      <c r="K27" s="4"/>
      <c r="L27" s="4"/>
      <c r="M27" s="4"/>
    </row>
    <row r="28" spans="3:13" ht="12.75" customHeight="1">
      <c r="C28" s="1" t="s">
        <v>31</v>
      </c>
      <c r="D28" s="34">
        <v>-100</v>
      </c>
      <c r="E28" s="34">
        <v>-110</v>
      </c>
      <c r="F28" s="34">
        <v>-120</v>
      </c>
      <c r="G28" s="34">
        <v>-130</v>
      </c>
      <c r="H28" s="22">
        <f>SUM(D28:G28)</f>
        <v>-460</v>
      </c>
      <c r="I28" s="4"/>
      <c r="J28" s="4"/>
      <c r="K28" s="4"/>
      <c r="L28" s="4"/>
      <c r="M28" s="4"/>
    </row>
    <row r="29" spans="3:13" ht="12.75" customHeight="1">
      <c r="C29" s="1" t="s">
        <v>32</v>
      </c>
      <c r="D29" s="34">
        <v>-50</v>
      </c>
      <c r="E29" s="34">
        <v>-50</v>
      </c>
      <c r="F29" s="34">
        <v>-50</v>
      </c>
      <c r="G29" s="34">
        <v>-60</v>
      </c>
      <c r="H29" s="22">
        <f>SUM(D29:G29)</f>
        <v>-210</v>
      </c>
      <c r="I29" s="4"/>
      <c r="J29" s="4"/>
      <c r="K29" s="4"/>
      <c r="L29" s="4"/>
      <c r="M29" s="4"/>
    </row>
    <row r="30" spans="3:13" ht="12.75" customHeight="1">
      <c r="C30" s="1" t="s">
        <v>33</v>
      </c>
      <c r="D30" s="34">
        <v>-50</v>
      </c>
      <c r="E30" s="34">
        <v>-50</v>
      </c>
      <c r="F30" s="34">
        <v>-65</v>
      </c>
      <c r="G30" s="34">
        <v>-75</v>
      </c>
      <c r="H30" s="22">
        <f>SUM(D30:G30)</f>
        <v>-240</v>
      </c>
      <c r="I30" s="4"/>
      <c r="J30" s="4"/>
      <c r="K30" s="4"/>
      <c r="L30" s="4"/>
      <c r="M30" s="4"/>
    </row>
    <row r="31" spans="3:13" ht="12.75" customHeight="1">
      <c r="C31" s="18" t="s">
        <v>10</v>
      </c>
      <c r="D31" s="21"/>
      <c r="E31" s="21"/>
      <c r="F31" s="21"/>
      <c r="G31" s="21"/>
      <c r="H31" s="26"/>
      <c r="I31" s="4"/>
      <c r="J31" s="4"/>
      <c r="K31" s="4"/>
      <c r="L31" s="4"/>
      <c r="M31" s="4"/>
    </row>
    <row r="32" spans="3:13" ht="12.75" customHeight="1">
      <c r="C32" s="1" t="s">
        <v>37</v>
      </c>
      <c r="D32" s="34">
        <v>-25</v>
      </c>
      <c r="E32" s="34">
        <v>-45</v>
      </c>
      <c r="F32" s="34">
        <v>-59</v>
      </c>
      <c r="G32" s="34">
        <v>-55</v>
      </c>
      <c r="H32" s="22">
        <f>SUM(D32:G32)</f>
        <v>-184</v>
      </c>
      <c r="I32" s="4"/>
      <c r="J32" s="4"/>
      <c r="K32" s="4"/>
      <c r="L32" s="4"/>
      <c r="M32" s="4"/>
    </row>
    <row r="33" spans="3:13" ht="12.75" customHeight="1">
      <c r="C33" s="1" t="s">
        <v>34</v>
      </c>
      <c r="D33" s="34">
        <v>-12</v>
      </c>
      <c r="E33" s="34">
        <v>-12</v>
      </c>
      <c r="F33" s="34">
        <v>-12</v>
      </c>
      <c r="G33" s="34">
        <v>-30</v>
      </c>
      <c r="H33" s="22">
        <f>SUM(D33:G33)</f>
        <v>-66</v>
      </c>
      <c r="I33" s="4"/>
      <c r="J33" s="4"/>
      <c r="K33" s="4"/>
      <c r="L33" s="4"/>
      <c r="M33" s="4"/>
    </row>
    <row r="34" spans="3:13" ht="12.75" customHeight="1">
      <c r="C34" s="18" t="s">
        <v>9</v>
      </c>
      <c r="D34" s="21"/>
      <c r="E34" s="21"/>
      <c r="F34" s="21"/>
      <c r="G34" s="21"/>
      <c r="H34" s="26"/>
      <c r="I34" s="4"/>
      <c r="J34" s="4"/>
      <c r="K34" s="4"/>
      <c r="L34" s="4"/>
      <c r="M34" s="4"/>
    </row>
    <row r="35" spans="3:13" ht="12.75" customHeight="1">
      <c r="C35" s="1" t="s">
        <v>43</v>
      </c>
      <c r="D35" s="34">
        <v>-100</v>
      </c>
      <c r="E35" s="34">
        <v>-120</v>
      </c>
      <c r="F35" s="34">
        <v>-120</v>
      </c>
      <c r="G35" s="34">
        <v>-130</v>
      </c>
      <c r="H35" s="22">
        <f>SUM(D35:G35)</f>
        <v>-470</v>
      </c>
      <c r="I35" s="4"/>
      <c r="J35" s="4"/>
      <c r="K35" s="4"/>
      <c r="L35" s="4"/>
      <c r="M35" s="4"/>
    </row>
    <row r="36" spans="3:13" ht="12.75" customHeight="1">
      <c r="C36" s="1" t="s">
        <v>42</v>
      </c>
      <c r="D36" s="34">
        <v>-40</v>
      </c>
      <c r="E36" s="34">
        <v>-40</v>
      </c>
      <c r="F36" s="34">
        <v>-40</v>
      </c>
      <c r="G36" s="34">
        <v>-40</v>
      </c>
      <c r="H36" s="22">
        <f>SUM(D36:G36)</f>
        <v>-160</v>
      </c>
      <c r="I36" s="4"/>
      <c r="J36" s="4"/>
      <c r="K36" s="4"/>
      <c r="L36" s="4"/>
      <c r="M36" s="4"/>
    </row>
    <row r="37" spans="3:13" ht="12.75" customHeight="1">
      <c r="C37" s="18" t="s">
        <v>35</v>
      </c>
      <c r="D37" s="21"/>
      <c r="E37" s="21"/>
      <c r="F37" s="21"/>
      <c r="G37" s="21"/>
      <c r="H37" s="23"/>
      <c r="I37" s="4"/>
      <c r="J37" s="4"/>
      <c r="K37" s="4"/>
      <c r="L37" s="4"/>
      <c r="M37" s="4"/>
    </row>
    <row r="38" spans="3:13" ht="12.75" customHeight="1">
      <c r="C38" s="19" t="s">
        <v>38</v>
      </c>
      <c r="D38" s="34">
        <v>-30</v>
      </c>
      <c r="E38" s="34">
        <v>-30</v>
      </c>
      <c r="F38" s="34">
        <v>-30</v>
      </c>
      <c r="G38" s="34">
        <v>-30</v>
      </c>
      <c r="H38" s="22">
        <f>SUM(D38:G38)</f>
        <v>-120</v>
      </c>
      <c r="I38" s="4"/>
      <c r="J38" s="4"/>
      <c r="K38" s="4"/>
      <c r="L38" s="4"/>
      <c r="M38" s="4"/>
    </row>
    <row r="39" spans="3:13" ht="12.75" customHeight="1">
      <c r="C39" s="19" t="s">
        <v>39</v>
      </c>
      <c r="D39" s="34">
        <v>-120</v>
      </c>
      <c r="E39" s="34">
        <v>-120</v>
      </c>
      <c r="F39" s="34">
        <v>-120</v>
      </c>
      <c r="G39" s="34">
        <v>-130</v>
      </c>
      <c r="H39" s="22">
        <f>SUM(D39:G39)</f>
        <v>-490</v>
      </c>
      <c r="I39" s="4"/>
      <c r="J39" s="4"/>
      <c r="K39" s="4"/>
      <c r="L39" s="4"/>
      <c r="M39" s="4"/>
    </row>
    <row r="40" spans="3:13" ht="12.75" customHeight="1">
      <c r="C40" s="19" t="s">
        <v>40</v>
      </c>
      <c r="D40" s="34">
        <v>-34</v>
      </c>
      <c r="E40" s="34">
        <v>-44</v>
      </c>
      <c r="F40" s="34">
        <v>-54</v>
      </c>
      <c r="G40" s="34">
        <v>-45</v>
      </c>
      <c r="H40" s="22">
        <f>SUM(D40:G40)</f>
        <v>-177</v>
      </c>
      <c r="I40" s="4"/>
      <c r="J40" s="4"/>
      <c r="K40" s="4"/>
      <c r="L40" s="4"/>
      <c r="M40" s="4"/>
    </row>
    <row r="41" spans="3:13" ht="12.75" customHeight="1">
      <c r="C41" s="19" t="s">
        <v>41</v>
      </c>
      <c r="D41" s="34">
        <v>-75</v>
      </c>
      <c r="E41" s="34">
        <v>-80</v>
      </c>
      <c r="F41" s="34">
        <v>-99</v>
      </c>
      <c r="G41" s="34">
        <v>-100</v>
      </c>
      <c r="H41" s="22">
        <f>SUM(D41:G41)</f>
        <v>-354</v>
      </c>
      <c r="I41" s="4"/>
      <c r="J41" s="4"/>
      <c r="K41" s="4"/>
      <c r="L41" s="4"/>
      <c r="M41" s="4"/>
    </row>
    <row r="42" spans="3:13" ht="12.75" customHeight="1">
      <c r="C42" s="19"/>
      <c r="D42" s="21"/>
      <c r="E42" s="21"/>
      <c r="F42" s="21"/>
      <c r="G42" s="21"/>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-1386</v>
      </c>
      <c r="E44" s="24">
        <f>SUM(E20:E41)</f>
        <v>-1161</v>
      </c>
      <c r="F44" s="24">
        <f>SUM(F20:F41)</f>
        <v>-1209</v>
      </c>
      <c r="G44" s="24">
        <f>SUM(G20:G41)</f>
        <v>-1165</v>
      </c>
      <c r="H44" s="25">
        <f>SUM(H20:H41)</f>
        <v>-4921</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3:13" ht="12.75" customHeight="1">
      <c r="C49" s="1" t="s">
        <v>16</v>
      </c>
      <c r="D49" s="27">
        <f>D16</f>
        <v>367</v>
      </c>
      <c r="E49" s="27">
        <f>E16</f>
        <v>468</v>
      </c>
      <c r="F49" s="27">
        <f>F16</f>
        <v>772</v>
      </c>
      <c r="G49" s="27">
        <f>G16</f>
        <v>822</v>
      </c>
      <c r="H49" s="28">
        <f>H16</f>
        <v>2429</v>
      </c>
      <c r="I49" s="4"/>
      <c r="J49" s="4"/>
      <c r="K49" s="4"/>
      <c r="L49" s="4"/>
      <c r="M49" s="4"/>
    </row>
    <row r="50" spans="2:13" ht="12.75" customHeight="1">
      <c r="B50" s="3"/>
      <c r="C50" s="1" t="s">
        <v>17</v>
      </c>
      <c r="D50" s="27">
        <f>+D44</f>
        <v>-1386</v>
      </c>
      <c r="E50" s="27">
        <f>+E44</f>
        <v>-1161</v>
      </c>
      <c r="F50" s="27">
        <f>+F44</f>
        <v>-1209</v>
      </c>
      <c r="G50" s="27">
        <f>+G44</f>
        <v>-1165</v>
      </c>
      <c r="H50" s="28">
        <f>SUM(D50:G50)</f>
        <v>-4921</v>
      </c>
      <c r="I50" s="4"/>
      <c r="J50" s="4"/>
      <c r="K50" s="4"/>
      <c r="L50" s="4"/>
      <c r="M50" s="4"/>
    </row>
    <row r="51" spans="2:13" ht="12.75" customHeight="1">
      <c r="B51" s="3"/>
      <c r="C51" s="6" t="s">
        <v>4</v>
      </c>
      <c r="D51" s="29">
        <f>D49+D50</f>
        <v>-1019</v>
      </c>
      <c r="E51" s="29">
        <f>E49+E50</f>
        <v>-693</v>
      </c>
      <c r="F51" s="29">
        <f>F49+F50</f>
        <v>-437</v>
      </c>
      <c r="G51" s="29">
        <f>G49+G50</f>
        <v>-343</v>
      </c>
      <c r="H51" s="30">
        <f>H49+H50</f>
        <v>-2492</v>
      </c>
      <c r="I51" s="4"/>
      <c r="J51" s="4"/>
      <c r="K51" s="4"/>
      <c r="L51" s="4"/>
      <c r="M51" s="4"/>
    </row>
    <row r="52" spans="3:13" ht="12.75" customHeight="1">
      <c r="C52" s="1" t="s">
        <v>21</v>
      </c>
      <c r="D52" s="27">
        <f>D51</f>
        <v>-1019</v>
      </c>
      <c r="E52" s="27">
        <f>E51+D52</f>
        <v>-1712</v>
      </c>
      <c r="F52" s="27">
        <f>F51+E52</f>
        <v>-2149</v>
      </c>
      <c r="G52" s="27">
        <f>G51+F52</f>
        <v>-2492</v>
      </c>
      <c r="H52" s="28">
        <f>H51</f>
        <v>-2492</v>
      </c>
      <c r="I52" s="11"/>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-1019</v>
      </c>
      <c r="E55" s="27">
        <f>E51/(1+ProposalCF!DCF_Rate_1)^2</f>
        <v>-693</v>
      </c>
      <c r="F55" s="27">
        <f>F51/(1+ProposalCF!DCF_Rate_1)^3</f>
        <v>-437</v>
      </c>
      <c r="G55" s="27">
        <f>G51/(1+ProposalCF!DCF_Rate_1)^4</f>
        <v>-343</v>
      </c>
      <c r="H55" s="28">
        <f>SUM(D55:G55)</f>
        <v>-2492</v>
      </c>
      <c r="I55" s="4"/>
      <c r="J55" s="4"/>
      <c r="K55" s="4"/>
      <c r="L55" s="4"/>
      <c r="M55" s="4"/>
    </row>
    <row r="56" spans="4:13" ht="12.75" customHeight="1">
      <c r="D56" s="4"/>
      <c r="E56" s="4"/>
      <c r="F56" s="4"/>
      <c r="G56" s="4"/>
      <c r="H56" s="4"/>
      <c r="I56" s="11"/>
      <c r="J56" s="4"/>
      <c r="K56" s="4"/>
      <c r="L56" s="4"/>
      <c r="M56" s="4"/>
    </row>
    <row r="57" spans="3:13" ht="12.75" customHeight="1">
      <c r="C57" s="7"/>
      <c r="D57" s="7"/>
      <c r="E57" s="7"/>
      <c r="F57" s="7"/>
      <c r="G57" s="7"/>
      <c r="H57" s="7"/>
      <c r="I57" s="4"/>
      <c r="J57" s="4"/>
      <c r="K57" s="4"/>
      <c r="L57" s="4"/>
      <c r="M57" s="4"/>
    </row>
    <row r="58" spans="3:8" s="7" customFormat="1" ht="12.75" customHeight="1">
      <c r="C58" s="1"/>
      <c r="D58" s="4"/>
      <c r="E58" s="4"/>
      <c r="F58" s="4"/>
      <c r="G58" s="4"/>
      <c r="H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row r="84" spans="9:13" ht="12.75" customHeight="1">
      <c r="I84" s="4"/>
      <c r="J84" s="4"/>
      <c r="K84" s="4"/>
      <c r="L84" s="4"/>
      <c r="M84"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FF99"/>
    <pageSetUpPr fitToPage="1"/>
  </sheetPr>
  <dimension ref="B2:M83"/>
  <sheetViews>
    <sheetView showGridLines="0" showOutlineSymbols="0" zoomScalePageLayoutView="0" workbookViewId="0" topLeftCell="A1">
      <selection activeCell="A1" sqref="A1"/>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10" ht="12.75" customHeight="1">
      <c r="B2" s="2"/>
      <c r="C2" s="14" t="s">
        <v>23</v>
      </c>
      <c r="D2" s="13"/>
      <c r="E2" s="2"/>
      <c r="J2" s="15"/>
    </row>
    <row r="3" spans="2:8" ht="12.75" customHeight="1">
      <c r="B3" s="2"/>
      <c r="C3" s="40" t="s">
        <v>59</v>
      </c>
      <c r="D3" s="2"/>
      <c r="E3" s="2"/>
      <c r="H3" s="9" t="s">
        <v>6</v>
      </c>
    </row>
    <row r="4" spans="5:8" ht="12.75" customHeight="1">
      <c r="E4" s="12"/>
      <c r="H4" s="1"/>
    </row>
    <row r="5" spans="3:12" ht="12.75" customHeight="1">
      <c r="C5" s="20"/>
      <c r="G5" s="10" t="s">
        <v>22</v>
      </c>
      <c r="H5" s="61">
        <f>ProposalCF!DCF_Rate_1</f>
        <v>0</v>
      </c>
      <c r="J5" s="40" t="s">
        <v>75</v>
      </c>
      <c r="L5" s="40"/>
    </row>
    <row r="6" spans="3:4" ht="12.75" customHeight="1">
      <c r="C6" s="9"/>
      <c r="D6" s="8" t="s">
        <v>56</v>
      </c>
    </row>
    <row r="7" spans="3:10" ht="12.75" customHeight="1">
      <c r="C7" s="9" t="s">
        <v>6</v>
      </c>
      <c r="D7" s="36">
        <v>39629</v>
      </c>
      <c r="E7" s="37">
        <v>39629</v>
      </c>
      <c r="F7" s="37">
        <v>39629</v>
      </c>
      <c r="G7" s="37">
        <v>39629</v>
      </c>
      <c r="H7" s="71" t="s">
        <v>0</v>
      </c>
      <c r="J7" s="40" t="s">
        <v>76</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27">
        <f>ProposalCF!D11-CurrentStateCF!D11</f>
        <v>900</v>
      </c>
      <c r="E11" s="27">
        <f>ProposalCF!E11-CurrentStateCF!E11</f>
        <v>1400</v>
      </c>
      <c r="F11" s="27">
        <f>ProposalCF!F11-CurrentStateCF!F11</f>
        <v>1200</v>
      </c>
      <c r="G11" s="27">
        <f>ProposalCF!G11-CurrentStateCF!G11</f>
        <v>1400</v>
      </c>
      <c r="H11" s="22">
        <f>SUM(D11:G11)</f>
        <v>4900</v>
      </c>
      <c r="I11" s="4"/>
      <c r="K11" s="4"/>
      <c r="L11" s="4"/>
      <c r="M11" s="4"/>
    </row>
    <row r="12" spans="3:13" ht="12.75" customHeight="1">
      <c r="C12" s="1" t="s">
        <v>12</v>
      </c>
      <c r="D12" s="27">
        <f>ProposalCF!D12-CurrentStateCF!D12</f>
        <v>15</v>
      </c>
      <c r="E12" s="27">
        <f>ProposalCF!E12-CurrentStateCF!E12</f>
        <v>26</v>
      </c>
      <c r="F12" s="27">
        <f>ProposalCF!F12-CurrentStateCF!F12</f>
        <v>23</v>
      </c>
      <c r="G12" s="27">
        <f>ProposalCF!G12-CurrentStateCF!G12</f>
        <v>33</v>
      </c>
      <c r="H12" s="22">
        <f>SUM(D12:G12)</f>
        <v>97</v>
      </c>
      <c r="I12" s="4"/>
      <c r="J12" s="4"/>
      <c r="K12" s="4"/>
      <c r="L12" s="4"/>
      <c r="M12" s="4"/>
    </row>
    <row r="13" spans="3:13" ht="12.75" customHeight="1">
      <c r="C13" s="1" t="s">
        <v>13</v>
      </c>
      <c r="D13" s="27">
        <f>ProposalCF!D13-CurrentStateCF!D13</f>
        <v>8</v>
      </c>
      <c r="E13" s="27">
        <f>ProposalCF!E13-CurrentStateCF!E13</f>
        <v>8</v>
      </c>
      <c r="F13" s="27">
        <f>ProposalCF!F13-CurrentStateCF!F13</f>
        <v>8</v>
      </c>
      <c r="G13" s="27">
        <f>ProposalCF!G13-CurrentStateCF!G13</f>
        <v>28</v>
      </c>
      <c r="H13" s="22">
        <f>SUM(D13:G13)</f>
        <v>52</v>
      </c>
      <c r="I13" s="4"/>
      <c r="J13" s="4"/>
      <c r="K13" s="4"/>
      <c r="L13" s="4"/>
      <c r="M13" s="4"/>
    </row>
    <row r="14" spans="3:13" ht="12.75" customHeight="1">
      <c r="C14" s="1" t="s">
        <v>14</v>
      </c>
      <c r="D14" s="27">
        <f>ProposalCF!D14-CurrentStateCF!D14</f>
        <v>34</v>
      </c>
      <c r="E14" s="27">
        <f>ProposalCF!E14-CurrentStateCF!E14</f>
        <v>35</v>
      </c>
      <c r="F14" s="27">
        <f>ProposalCF!F14-CurrentStateCF!F14</f>
        <v>36</v>
      </c>
      <c r="G14" s="27">
        <f>ProposalCF!G14-CurrentStateCF!G14</f>
        <v>41</v>
      </c>
      <c r="H14" s="22">
        <f>SUM(D14:G14)</f>
        <v>146</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957</v>
      </c>
      <c r="E16" s="24">
        <f>SUM(E11:E14)</f>
        <v>1469</v>
      </c>
      <c r="F16" s="24">
        <f>SUM(F11:F14)</f>
        <v>1267</v>
      </c>
      <c r="G16" s="24">
        <f>SUM(G11:G14)</f>
        <v>1502</v>
      </c>
      <c r="H16" s="25">
        <f>SUM(H11:H14)</f>
        <v>5195</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27">
        <f>ProposalCF!D21-CurrentStateCF!D21</f>
        <v>20</v>
      </c>
      <c r="E21" s="27">
        <f>ProposalCF!E21-CurrentStateCF!E21</f>
        <v>30</v>
      </c>
      <c r="F21" s="27">
        <f>ProposalCF!F21-CurrentStateCF!F21</f>
        <v>35</v>
      </c>
      <c r="G21" s="27">
        <f>ProposalCF!G21-CurrentStateCF!G21</f>
        <v>40</v>
      </c>
      <c r="H21" s="22">
        <f>SUM(D21:G21)</f>
        <v>125</v>
      </c>
      <c r="I21" s="4"/>
      <c r="J21" s="4"/>
      <c r="K21" s="4"/>
      <c r="L21" s="4"/>
      <c r="M21" s="4"/>
    </row>
    <row r="22" spans="3:13" ht="12.75" customHeight="1">
      <c r="C22" s="1" t="s">
        <v>27</v>
      </c>
      <c r="D22" s="27">
        <f>ProposalCF!D22-CurrentStateCF!D22</f>
        <v>100</v>
      </c>
      <c r="E22" s="27">
        <f>ProposalCF!E22-CurrentStateCF!E22</f>
        <v>60</v>
      </c>
      <c r="F22" s="27">
        <f>ProposalCF!F22-CurrentStateCF!F22</f>
        <v>30</v>
      </c>
      <c r="G22" s="27">
        <f>ProposalCF!G22-CurrentStateCF!G22</f>
        <v>30</v>
      </c>
      <c r="H22" s="22">
        <f>SUM(D22:G22)</f>
        <v>220</v>
      </c>
      <c r="I22" s="4"/>
      <c r="J22" s="4"/>
      <c r="K22" s="4"/>
      <c r="L22" s="4"/>
      <c r="M22" s="4"/>
    </row>
    <row r="23" spans="3:13" ht="12.75" customHeight="1">
      <c r="C23" s="1" t="s">
        <v>28</v>
      </c>
      <c r="D23" s="27">
        <f>ProposalCF!D23-CurrentStateCF!D23</f>
        <v>20</v>
      </c>
      <c r="E23" s="27">
        <f>ProposalCF!E23-CurrentStateCF!E23</f>
        <v>10</v>
      </c>
      <c r="F23" s="27">
        <f>ProposalCF!F23-CurrentStateCF!F23</f>
        <v>20</v>
      </c>
      <c r="G23" s="27">
        <f>ProposalCF!G23-CurrentStateCF!G23</f>
        <v>30</v>
      </c>
      <c r="H23" s="22">
        <f>SUM(D23:G23)</f>
        <v>80</v>
      </c>
      <c r="I23" s="4"/>
      <c r="J23" s="4"/>
      <c r="K23" s="4"/>
      <c r="L23" s="4"/>
      <c r="M23" s="4"/>
    </row>
    <row r="24" spans="4:13" ht="12.75" customHeight="1">
      <c r="D24" s="33"/>
      <c r="E24" s="33"/>
      <c r="F24" s="33"/>
      <c r="G24" s="33"/>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27">
        <f>ProposalCF!D27-CurrentStateCF!D27</f>
        <v>20</v>
      </c>
      <c r="E27" s="27">
        <f>ProposalCF!E27-CurrentStateCF!E27</f>
        <v>20</v>
      </c>
      <c r="F27" s="27">
        <f>ProposalCF!F27-CurrentStateCF!F27</f>
        <v>20</v>
      </c>
      <c r="G27" s="27">
        <f>ProposalCF!G27-CurrentStateCF!G27</f>
        <v>20</v>
      </c>
      <c r="H27" s="22">
        <f>SUM(D27:G27)</f>
        <v>80</v>
      </c>
      <c r="I27" s="4"/>
      <c r="J27" s="4"/>
      <c r="K27" s="4"/>
      <c r="L27" s="4"/>
      <c r="M27" s="4"/>
    </row>
    <row r="28" spans="3:13" ht="12.75" customHeight="1">
      <c r="C28" s="1" t="s">
        <v>31</v>
      </c>
      <c r="D28" s="27">
        <f>ProposalCF!D28-CurrentStateCF!D28</f>
        <v>20</v>
      </c>
      <c r="E28" s="27">
        <f>ProposalCF!E28-CurrentStateCF!E28</f>
        <v>15</v>
      </c>
      <c r="F28" s="27">
        <f>ProposalCF!F28-CurrentStateCF!F28</f>
        <v>20</v>
      </c>
      <c r="G28" s="27">
        <f>ProposalCF!G28-CurrentStateCF!G28</f>
        <v>20</v>
      </c>
      <c r="H28" s="22">
        <f>SUM(D28:G28)</f>
        <v>75</v>
      </c>
      <c r="I28" s="4"/>
      <c r="J28" s="4"/>
      <c r="K28" s="4"/>
      <c r="L28" s="4"/>
      <c r="M28" s="4"/>
    </row>
    <row r="29" spans="3:13" ht="12.75" customHeight="1">
      <c r="C29" s="1" t="s">
        <v>32</v>
      </c>
      <c r="D29" s="27">
        <f>ProposalCF!D29-CurrentStateCF!D29</f>
        <v>30</v>
      </c>
      <c r="E29" s="27">
        <f>ProposalCF!E29-CurrentStateCF!E29</f>
        <v>27</v>
      </c>
      <c r="F29" s="27">
        <f>ProposalCF!F29-CurrentStateCF!F29</f>
        <v>25</v>
      </c>
      <c r="G29" s="27">
        <f>ProposalCF!G29-CurrentStateCF!G29</f>
        <v>30</v>
      </c>
      <c r="H29" s="22">
        <f>SUM(D29:G29)</f>
        <v>112</v>
      </c>
      <c r="I29" s="4"/>
      <c r="J29" s="4"/>
      <c r="K29" s="4"/>
      <c r="L29" s="4"/>
      <c r="M29" s="4"/>
    </row>
    <row r="30" spans="3:13" ht="12.75" customHeight="1">
      <c r="C30" s="1" t="s">
        <v>33</v>
      </c>
      <c r="D30" s="27">
        <f>ProposalCF!D30-CurrentStateCF!D30</f>
        <v>10</v>
      </c>
      <c r="E30" s="27">
        <f>ProposalCF!E30-CurrentStateCF!E30</f>
        <v>10</v>
      </c>
      <c r="F30" s="27">
        <f>ProposalCF!F30-CurrentStateCF!F30</f>
        <v>5</v>
      </c>
      <c r="G30" s="27">
        <f>ProposalCF!G30-CurrentStateCF!G30</f>
        <v>5</v>
      </c>
      <c r="H30" s="22">
        <f>SUM(D30:G30)</f>
        <v>30</v>
      </c>
      <c r="I30" s="4"/>
      <c r="J30" s="4"/>
      <c r="K30" s="4"/>
      <c r="L30" s="4"/>
      <c r="M30" s="4"/>
    </row>
    <row r="31" spans="3:13" ht="12.75" customHeight="1">
      <c r="C31" s="18" t="s">
        <v>10</v>
      </c>
      <c r="D31" s="21"/>
      <c r="E31" s="21"/>
      <c r="F31" s="21"/>
      <c r="G31" s="21"/>
      <c r="H31" s="4"/>
      <c r="I31" s="4"/>
      <c r="J31" s="4"/>
      <c r="K31" s="4"/>
      <c r="L31" s="4"/>
      <c r="M31" s="4"/>
    </row>
    <row r="32" spans="3:13" ht="12.75" customHeight="1">
      <c r="C32" s="1" t="s">
        <v>37</v>
      </c>
      <c r="D32" s="27">
        <f>ProposalCF!D32-CurrentStateCF!D32</f>
        <v>5</v>
      </c>
      <c r="E32" s="27">
        <f>ProposalCF!E32-CurrentStateCF!E32</f>
        <v>5</v>
      </c>
      <c r="F32" s="27">
        <f>ProposalCF!F32-CurrentStateCF!F32</f>
        <v>19</v>
      </c>
      <c r="G32" s="27">
        <f>ProposalCF!G32-CurrentStateCF!G32</f>
        <v>5</v>
      </c>
      <c r="H32" s="22">
        <f>SUM(D32:G32)</f>
        <v>34</v>
      </c>
      <c r="I32" s="4"/>
      <c r="J32" s="4"/>
      <c r="K32" s="4"/>
      <c r="L32" s="4"/>
      <c r="M32" s="4"/>
    </row>
    <row r="33" spans="3:13" ht="12.75" customHeight="1">
      <c r="C33" s="1" t="s">
        <v>34</v>
      </c>
      <c r="D33" s="27">
        <f>ProposalCF!D33-CurrentStateCF!D33</f>
        <v>2</v>
      </c>
      <c r="E33" s="27">
        <f>ProposalCF!E33-CurrentStateCF!E33</f>
        <v>2</v>
      </c>
      <c r="F33" s="27">
        <f>ProposalCF!F33-CurrentStateCF!F33</f>
        <v>2</v>
      </c>
      <c r="G33" s="27">
        <f>ProposalCF!G33-CurrentStateCF!G33</f>
        <v>10</v>
      </c>
      <c r="H33" s="22">
        <f>SUM(D33:G33)</f>
        <v>16</v>
      </c>
      <c r="I33" s="4"/>
      <c r="J33" s="4"/>
      <c r="K33" s="4"/>
      <c r="L33" s="4"/>
      <c r="M33" s="4"/>
    </row>
    <row r="34" spans="3:13" ht="12.75" customHeight="1">
      <c r="C34" s="18" t="s">
        <v>9</v>
      </c>
      <c r="D34" s="21"/>
      <c r="E34" s="21"/>
      <c r="F34" s="21"/>
      <c r="G34" s="21"/>
      <c r="H34" s="4"/>
      <c r="I34" s="4"/>
      <c r="J34" s="4"/>
      <c r="K34" s="4"/>
      <c r="L34" s="4"/>
      <c r="M34" s="4"/>
    </row>
    <row r="35" spans="3:13" ht="12.75" customHeight="1">
      <c r="C35" s="1" t="s">
        <v>43</v>
      </c>
      <c r="D35" s="27">
        <f>ProposalCF!D35-CurrentStateCF!D35</f>
        <v>50</v>
      </c>
      <c r="E35" s="27">
        <f>ProposalCF!E35-CurrentStateCF!E35</f>
        <v>70</v>
      </c>
      <c r="F35" s="27">
        <f>ProposalCF!F35-CurrentStateCF!F35</f>
        <v>70</v>
      </c>
      <c r="G35" s="27">
        <f>ProposalCF!G35-CurrentStateCF!G35</f>
        <v>80</v>
      </c>
      <c r="H35" s="22">
        <f>SUM(D35:G35)</f>
        <v>270</v>
      </c>
      <c r="I35" s="4"/>
      <c r="J35" s="4"/>
      <c r="K35" s="4"/>
      <c r="L35" s="4"/>
      <c r="M35" s="4"/>
    </row>
    <row r="36" spans="3:13" ht="12.75" customHeight="1">
      <c r="C36" s="1" t="s">
        <v>42</v>
      </c>
      <c r="D36" s="27">
        <f>ProposalCF!D36-CurrentStateCF!D36</f>
        <v>10</v>
      </c>
      <c r="E36" s="27">
        <f>ProposalCF!E36-CurrentStateCF!E36</f>
        <v>10</v>
      </c>
      <c r="F36" s="27">
        <f>ProposalCF!F36-CurrentStateCF!F36</f>
        <v>10</v>
      </c>
      <c r="G36" s="27">
        <f>ProposalCF!G36-CurrentStateCF!G36</f>
        <v>10</v>
      </c>
      <c r="H36" s="22">
        <f>SUM(D36:G36)</f>
        <v>40</v>
      </c>
      <c r="I36" s="4"/>
      <c r="J36" s="4"/>
      <c r="K36" s="4"/>
      <c r="L36" s="4"/>
      <c r="M36" s="4"/>
    </row>
    <row r="37" spans="3:13" ht="12.75" customHeight="1">
      <c r="C37" s="18" t="s">
        <v>35</v>
      </c>
      <c r="D37" s="21"/>
      <c r="E37" s="21"/>
      <c r="F37" s="21"/>
      <c r="G37" s="21"/>
      <c r="H37" s="4"/>
      <c r="I37" s="4"/>
      <c r="J37" s="4"/>
      <c r="K37" s="4"/>
      <c r="L37" s="4"/>
      <c r="M37" s="4"/>
    </row>
    <row r="38" spans="3:13" ht="12.75" customHeight="1">
      <c r="C38" s="19" t="s">
        <v>38</v>
      </c>
      <c r="D38" s="27">
        <f>ProposalCF!D38-CurrentStateCF!D38</f>
        <v>10</v>
      </c>
      <c r="E38" s="27">
        <f>ProposalCF!E38-CurrentStateCF!E38</f>
        <v>10</v>
      </c>
      <c r="F38" s="27">
        <f>ProposalCF!F38-CurrentStateCF!F38</f>
        <v>10</v>
      </c>
      <c r="G38" s="27">
        <f>ProposalCF!G38-CurrentStateCF!G38</f>
        <v>10</v>
      </c>
      <c r="H38" s="22">
        <f>SUM(D38:G38)</f>
        <v>40</v>
      </c>
      <c r="I38" s="4"/>
      <c r="J38" s="4"/>
      <c r="K38" s="4"/>
      <c r="L38" s="4"/>
      <c r="M38" s="4"/>
    </row>
    <row r="39" spans="3:13" ht="12.75" customHeight="1">
      <c r="C39" s="19" t="s">
        <v>39</v>
      </c>
      <c r="D39" s="27">
        <f>ProposalCF!D39-CurrentStateCF!D39</f>
        <v>10</v>
      </c>
      <c r="E39" s="27">
        <f>ProposalCF!E39-CurrentStateCF!E39</f>
        <v>10</v>
      </c>
      <c r="F39" s="27">
        <f>ProposalCF!F39-CurrentStateCF!F39</f>
        <v>10</v>
      </c>
      <c r="G39" s="27">
        <f>ProposalCF!G39-CurrentStateCF!G39</f>
        <v>10</v>
      </c>
      <c r="H39" s="22">
        <f>SUM(D39:G39)</f>
        <v>40</v>
      </c>
      <c r="I39" s="4"/>
      <c r="J39" s="4"/>
      <c r="K39" s="4"/>
      <c r="L39" s="4"/>
      <c r="M39" s="4"/>
    </row>
    <row r="40" spans="3:13" ht="12.75" customHeight="1">
      <c r="C40" s="19" t="s">
        <v>40</v>
      </c>
      <c r="D40" s="27">
        <f>ProposalCF!D40-CurrentStateCF!D40</f>
        <v>4</v>
      </c>
      <c r="E40" s="27">
        <f>ProposalCF!E40-CurrentStateCF!E40</f>
        <v>4</v>
      </c>
      <c r="F40" s="27">
        <f>ProposalCF!F40-CurrentStateCF!F40</f>
        <v>4</v>
      </c>
      <c r="G40" s="27">
        <f>ProposalCF!G40-CurrentStateCF!G40</f>
        <v>5</v>
      </c>
      <c r="H40" s="22">
        <f>SUM(D40:G40)</f>
        <v>17</v>
      </c>
      <c r="I40" s="4"/>
      <c r="J40" s="4"/>
      <c r="K40" s="4"/>
      <c r="L40" s="4"/>
      <c r="M40" s="4"/>
    </row>
    <row r="41" spans="3:13" ht="12.75" customHeight="1">
      <c r="C41" s="19" t="s">
        <v>41</v>
      </c>
      <c r="D41" s="27">
        <f>ProposalCF!D41-CurrentStateCF!D41</f>
        <v>5</v>
      </c>
      <c r="E41" s="27">
        <f>ProposalCF!E41-CurrentStateCF!E41</f>
        <v>10</v>
      </c>
      <c r="F41" s="27">
        <f>ProposalCF!F41-CurrentStateCF!F41</f>
        <v>9</v>
      </c>
      <c r="G41" s="27">
        <f>ProposalCF!G41-CurrentStateCF!G41</f>
        <v>0</v>
      </c>
      <c r="H41" s="22">
        <f>SUM(D41:G41)</f>
        <v>24</v>
      </c>
      <c r="I41" s="4"/>
      <c r="J41" s="4"/>
      <c r="K41" s="4"/>
      <c r="L41" s="4"/>
      <c r="M41" s="4"/>
    </row>
    <row r="42" spans="3:13" ht="12.75" customHeight="1">
      <c r="C42" s="19"/>
      <c r="D42" s="33"/>
      <c r="E42" s="33"/>
      <c r="F42" s="33"/>
      <c r="G42" s="33"/>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316</v>
      </c>
      <c r="E44" s="24">
        <f>SUM(E20:E41)</f>
        <v>293</v>
      </c>
      <c r="F44" s="24">
        <f>SUM(F20:F41)</f>
        <v>289</v>
      </c>
      <c r="G44" s="24">
        <f>SUM(G20:G41)</f>
        <v>305</v>
      </c>
      <c r="H44" s="25">
        <f>SUM(H20:H41)</f>
        <v>1203</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957</v>
      </c>
      <c r="E49" s="27">
        <f>E16</f>
        <v>1469</v>
      </c>
      <c r="F49" s="27">
        <f>F16</f>
        <v>1267</v>
      </c>
      <c r="G49" s="27">
        <f>G16</f>
        <v>1502</v>
      </c>
      <c r="H49" s="28">
        <f>H16</f>
        <v>5195</v>
      </c>
      <c r="I49" s="4"/>
      <c r="J49" s="4"/>
      <c r="K49" s="4"/>
      <c r="L49" s="4"/>
      <c r="M49" s="4"/>
    </row>
    <row r="50" spans="2:13" ht="12.75" customHeight="1">
      <c r="B50" s="3"/>
      <c r="C50" s="1" t="s">
        <v>17</v>
      </c>
      <c r="D50" s="27">
        <f>+D44</f>
        <v>316</v>
      </c>
      <c r="E50" s="27">
        <f>+E44</f>
        <v>293</v>
      </c>
      <c r="F50" s="27">
        <f>+F44</f>
        <v>289</v>
      </c>
      <c r="G50" s="27">
        <f>+G44</f>
        <v>305</v>
      </c>
      <c r="H50" s="28">
        <f>SUM(D50:G50)</f>
        <v>1203</v>
      </c>
      <c r="I50" s="4"/>
      <c r="J50" s="4"/>
      <c r="K50" s="4"/>
      <c r="L50" s="4"/>
      <c r="M50" s="4"/>
    </row>
    <row r="51" spans="3:13" ht="12.75" customHeight="1">
      <c r="C51" s="6" t="s">
        <v>4</v>
      </c>
      <c r="D51" s="29">
        <f>D49+D50</f>
        <v>1273</v>
      </c>
      <c r="E51" s="29">
        <f>E49+E50</f>
        <v>1762</v>
      </c>
      <c r="F51" s="29">
        <f>F49+F50</f>
        <v>1556</v>
      </c>
      <c r="G51" s="29">
        <f>G49+G50</f>
        <v>1807</v>
      </c>
      <c r="H51" s="30">
        <f>H49+H50</f>
        <v>6398</v>
      </c>
      <c r="I51" s="11"/>
      <c r="J51" s="4"/>
      <c r="K51" s="4"/>
      <c r="L51" s="4"/>
      <c r="M51" s="4"/>
    </row>
    <row r="52" spans="3:13" ht="12.75" customHeight="1">
      <c r="C52" s="1" t="s">
        <v>21</v>
      </c>
      <c r="D52" s="27">
        <f>D51</f>
        <v>1273</v>
      </c>
      <c r="E52" s="27">
        <f>E51+D52</f>
        <v>3035</v>
      </c>
      <c r="F52" s="27">
        <f>F51+E52</f>
        <v>4591</v>
      </c>
      <c r="G52" s="27">
        <f>G51+F52</f>
        <v>6398</v>
      </c>
      <c r="H52" s="28">
        <f>H51</f>
        <v>6398</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1273</v>
      </c>
      <c r="E55" s="27">
        <f>E51/(1+ProposalCF!DCF_Rate_1)^2</f>
        <v>1762</v>
      </c>
      <c r="F55" s="27">
        <f>F51/(1+ProposalCF!DCF_Rate_1)^3</f>
        <v>1556</v>
      </c>
      <c r="G55" s="27">
        <f>G51/(1+ProposalCF!DCF_Rate_1)^4</f>
        <v>1807</v>
      </c>
      <c r="H55" s="28">
        <f>SUM(D55:G55)</f>
        <v>6398</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FF99"/>
    <pageSetUpPr fitToPage="1"/>
  </sheetPr>
  <dimension ref="B2:M83"/>
  <sheetViews>
    <sheetView showGridLines="0" showOutlineSymbols="0" zoomScalePageLayoutView="0" workbookViewId="0" topLeftCell="A1">
      <selection activeCell="K44" sqref="K44"/>
    </sheetView>
  </sheetViews>
  <sheetFormatPr defaultColWidth="11.00390625" defaultRowHeight="12.75" customHeight="1"/>
  <cols>
    <col min="1" max="1" width="2.28125" style="1" customWidth="1"/>
    <col min="2" max="2" width="2.00390625" style="1" customWidth="1"/>
    <col min="3" max="3" width="25.28125" style="1" customWidth="1"/>
    <col min="4" max="8" width="8.7109375" style="1" customWidth="1"/>
    <col min="9" max="9" width="2.421875" style="1" customWidth="1"/>
    <col min="10" max="16384" width="11.00390625" style="1" customWidth="1"/>
  </cols>
  <sheetData>
    <row r="2" spans="2:5" ht="12.75" customHeight="1">
      <c r="B2" s="2"/>
      <c r="C2" s="14" t="s">
        <v>44</v>
      </c>
      <c r="D2" s="13"/>
      <c r="E2" s="2"/>
    </row>
    <row r="3" spans="2:8" ht="12.75" customHeight="1">
      <c r="B3" s="2"/>
      <c r="C3" s="40" t="s">
        <v>58</v>
      </c>
      <c r="D3" s="2"/>
      <c r="E3" s="2"/>
      <c r="H3" s="9" t="s">
        <v>6</v>
      </c>
    </row>
    <row r="4" spans="5:8" ht="12.75" customHeight="1">
      <c r="E4" s="12"/>
      <c r="H4" s="1"/>
    </row>
    <row r="5" spans="3:10" ht="12.75" customHeight="1">
      <c r="C5" s="20"/>
      <c r="G5" s="10" t="s">
        <v>22</v>
      </c>
      <c r="H5" s="61">
        <f>ProposalCF!DCF_Rate_1</f>
        <v>0</v>
      </c>
      <c r="J5" s="40" t="s">
        <v>75</v>
      </c>
    </row>
    <row r="6" spans="3:4" ht="12.75" customHeight="1">
      <c r="C6" s="9"/>
      <c r="D6" s="8" t="s">
        <v>56</v>
      </c>
    </row>
    <row r="7" spans="3:10" ht="12.75" customHeight="1">
      <c r="C7" s="9" t="s">
        <v>6</v>
      </c>
      <c r="D7" s="36">
        <v>39629</v>
      </c>
      <c r="E7" s="37">
        <v>39629</v>
      </c>
      <c r="F7" s="37">
        <v>39629</v>
      </c>
      <c r="G7" s="37">
        <v>39629</v>
      </c>
      <c r="H7" s="71" t="s">
        <v>0</v>
      </c>
      <c r="J7" s="40" t="s">
        <v>76</v>
      </c>
    </row>
    <row r="8" spans="3:10" ht="12.75" customHeight="1">
      <c r="C8" s="3"/>
      <c r="D8" s="38">
        <v>2009</v>
      </c>
      <c r="E8" s="39">
        <v>2010</v>
      </c>
      <c r="F8" s="39">
        <v>2011</v>
      </c>
      <c r="G8" s="39">
        <v>2012</v>
      </c>
      <c r="H8" s="72"/>
      <c r="J8" s="40" t="s">
        <v>55</v>
      </c>
    </row>
    <row r="9" spans="3:13" ht="12.75" customHeight="1">
      <c r="C9" s="3" t="s">
        <v>1</v>
      </c>
      <c r="D9" s="4"/>
      <c r="E9" s="4"/>
      <c r="F9" s="4"/>
      <c r="G9" s="4"/>
      <c r="H9" s="4"/>
      <c r="I9" s="4"/>
      <c r="J9" s="41" t="s">
        <v>47</v>
      </c>
      <c r="K9" s="4"/>
      <c r="L9" s="4"/>
      <c r="M9" s="4"/>
    </row>
    <row r="10" spans="4:13" ht="12.75" customHeight="1">
      <c r="D10" s="4"/>
      <c r="E10" s="4"/>
      <c r="F10" s="4"/>
      <c r="G10" s="4"/>
      <c r="H10" s="4"/>
      <c r="I10" s="4"/>
      <c r="J10" s="41" t="s">
        <v>48</v>
      </c>
      <c r="K10" s="4"/>
      <c r="L10" s="4"/>
      <c r="M10" s="4"/>
    </row>
    <row r="11" spans="3:13" ht="12.75" customHeight="1">
      <c r="C11" s="1" t="s">
        <v>11</v>
      </c>
      <c r="D11" s="27">
        <f>AltProposalCF!D11-CurrentStateCF!D11</f>
        <v>600</v>
      </c>
      <c r="E11" s="27">
        <f>AltProposalCF!E11-CurrentStateCF!E11</f>
        <v>800</v>
      </c>
      <c r="F11" s="27">
        <f>AltProposalCF!F11-CurrentStateCF!F11</f>
        <v>800</v>
      </c>
      <c r="G11" s="27">
        <f>AltProposalCF!G11-CurrentStateCF!G11</f>
        <v>1000</v>
      </c>
      <c r="H11" s="22">
        <f>SUM(D11:G11)</f>
        <v>3200</v>
      </c>
      <c r="I11" s="4"/>
      <c r="K11" s="4"/>
      <c r="L11" s="4"/>
      <c r="M11" s="4"/>
    </row>
    <row r="12" spans="3:13" ht="12.75" customHeight="1">
      <c r="C12" s="1" t="s">
        <v>12</v>
      </c>
      <c r="D12" s="27">
        <f>AltProposalCF!D12-CurrentStateCF!D12</f>
        <v>12.600000000000001</v>
      </c>
      <c r="E12" s="27">
        <f>AltProposalCF!E12-CurrentStateCF!E12</f>
        <v>21</v>
      </c>
      <c r="F12" s="27">
        <f>AltProposalCF!F12-CurrentStateCF!F12</f>
        <v>25</v>
      </c>
      <c r="G12" s="27">
        <f>AltProposalCF!G12-CurrentStateCF!G12</f>
        <v>26</v>
      </c>
      <c r="H12" s="22">
        <f>SUM(D12:G12)</f>
        <v>84.6</v>
      </c>
      <c r="I12" s="4"/>
      <c r="J12" s="4"/>
      <c r="K12" s="4"/>
      <c r="L12" s="4"/>
      <c r="M12" s="4"/>
    </row>
    <row r="13" spans="3:13" ht="12.75" customHeight="1">
      <c r="C13" s="1" t="s">
        <v>13</v>
      </c>
      <c r="D13" s="27">
        <f>AltProposalCF!D13-CurrentStateCF!D13</f>
        <v>3</v>
      </c>
      <c r="E13" s="27">
        <f>AltProposalCF!E13-CurrentStateCF!E13</f>
        <v>2</v>
      </c>
      <c r="F13" s="27">
        <f>AltProposalCF!F13-CurrentStateCF!F13</f>
        <v>5</v>
      </c>
      <c r="G13" s="27">
        <f>AltProposalCF!G13-CurrentStateCF!G13</f>
        <v>18</v>
      </c>
      <c r="H13" s="22">
        <f>SUM(D13:G13)</f>
        <v>28</v>
      </c>
      <c r="I13" s="4"/>
      <c r="J13" s="4"/>
      <c r="K13" s="4"/>
      <c r="L13" s="4"/>
      <c r="M13" s="4"/>
    </row>
    <row r="14" spans="3:13" ht="12.75" customHeight="1">
      <c r="C14" s="1" t="s">
        <v>14</v>
      </c>
      <c r="D14" s="27">
        <f>AltProposalCF!D14-CurrentStateCF!D14</f>
        <v>18</v>
      </c>
      <c r="E14" s="27">
        <f>AltProposalCF!E14-CurrentStateCF!E14</f>
        <v>0</v>
      </c>
      <c r="F14" s="27">
        <f>AltProposalCF!F14-CurrentStateCF!F14</f>
        <v>3</v>
      </c>
      <c r="G14" s="27">
        <f>AltProposalCF!G14-CurrentStateCF!G14</f>
        <v>8</v>
      </c>
      <c r="H14" s="22">
        <f>SUM(D14:G14)</f>
        <v>29</v>
      </c>
      <c r="I14" s="4"/>
      <c r="J14" s="4"/>
      <c r="K14" s="4"/>
      <c r="L14" s="4"/>
      <c r="M14" s="4"/>
    </row>
    <row r="15" spans="4:13" ht="12.75" customHeight="1">
      <c r="D15" s="21"/>
      <c r="E15" s="21"/>
      <c r="F15" s="21"/>
      <c r="G15" s="21"/>
      <c r="H15" s="4"/>
      <c r="I15" s="4"/>
      <c r="J15" s="4"/>
      <c r="K15" s="4"/>
      <c r="L15" s="4"/>
      <c r="M15" s="4"/>
    </row>
    <row r="16" spans="3:13" ht="12.75" customHeight="1">
      <c r="C16" s="5" t="s">
        <v>2</v>
      </c>
      <c r="D16" s="24">
        <f>SUM(D11:D14)</f>
        <v>633.6</v>
      </c>
      <c r="E16" s="24">
        <f>SUM(E11:E14)</f>
        <v>823</v>
      </c>
      <c r="F16" s="24">
        <f>SUM(F11:F14)</f>
        <v>833</v>
      </c>
      <c r="G16" s="24">
        <f>SUM(G11:G14)</f>
        <v>1052</v>
      </c>
      <c r="H16" s="25">
        <f>SUM(H11:H14)</f>
        <v>3341.6</v>
      </c>
      <c r="I16" s="4"/>
      <c r="J16" s="4"/>
      <c r="K16" s="4"/>
      <c r="L16" s="4"/>
      <c r="M16" s="4"/>
    </row>
    <row r="17" spans="4:13" ht="12.75" customHeight="1">
      <c r="D17" s="21"/>
      <c r="E17" s="21"/>
      <c r="F17" s="21"/>
      <c r="G17" s="21"/>
      <c r="H17" s="21"/>
      <c r="I17" s="4"/>
      <c r="J17" s="4"/>
      <c r="K17" s="4"/>
      <c r="L17" s="4"/>
      <c r="M17" s="4"/>
    </row>
    <row r="18" spans="3:13" ht="12.75" customHeight="1">
      <c r="C18" s="3" t="s">
        <v>19</v>
      </c>
      <c r="D18" s="21"/>
      <c r="E18" s="21"/>
      <c r="F18" s="21"/>
      <c r="G18" s="21"/>
      <c r="H18" s="21"/>
      <c r="I18" s="4"/>
      <c r="J18" s="4"/>
      <c r="K18" s="4"/>
      <c r="L18" s="4"/>
      <c r="M18" s="4"/>
    </row>
    <row r="19" spans="4:13" ht="12.75" customHeight="1">
      <c r="D19" s="21"/>
      <c r="E19" s="21"/>
      <c r="F19" s="21"/>
      <c r="G19" s="21"/>
      <c r="H19" s="21"/>
      <c r="I19" s="4"/>
      <c r="J19" s="4"/>
      <c r="K19" s="4"/>
      <c r="L19" s="4"/>
      <c r="M19" s="4"/>
    </row>
    <row r="20" spans="3:13" ht="12.75" customHeight="1">
      <c r="C20" s="3" t="s">
        <v>29</v>
      </c>
      <c r="D20" s="21"/>
      <c r="E20" s="21"/>
      <c r="F20" s="21"/>
      <c r="G20" s="21"/>
      <c r="H20" s="21"/>
      <c r="I20" s="4"/>
      <c r="J20" s="4"/>
      <c r="K20" s="4"/>
      <c r="L20" s="4"/>
      <c r="M20" s="4"/>
    </row>
    <row r="21" spans="3:13" ht="12.75" customHeight="1">
      <c r="C21" s="1" t="s">
        <v>26</v>
      </c>
      <c r="D21" s="27">
        <f>AltProposalCF!D21-CurrentStateCF!D21</f>
        <v>10</v>
      </c>
      <c r="E21" s="27">
        <f>AltProposalCF!E21-CurrentStateCF!E21</f>
        <v>20</v>
      </c>
      <c r="F21" s="27">
        <f>AltProposalCF!F21-CurrentStateCF!F21</f>
        <v>25</v>
      </c>
      <c r="G21" s="27">
        <f>AltProposalCF!G21-CurrentStateCF!G21</f>
        <v>34</v>
      </c>
      <c r="H21" s="22">
        <f>SUM(D21:G21)</f>
        <v>89</v>
      </c>
      <c r="I21" s="4"/>
      <c r="J21" s="4"/>
      <c r="K21" s="4"/>
      <c r="L21" s="4"/>
      <c r="M21" s="4"/>
    </row>
    <row r="22" spans="3:13" ht="12.75" customHeight="1">
      <c r="C22" s="1" t="s">
        <v>27</v>
      </c>
      <c r="D22" s="27">
        <f>AltProposalCF!D22-CurrentStateCF!D22</f>
        <v>10</v>
      </c>
      <c r="E22" s="27">
        <f>AltProposalCF!E22-CurrentStateCF!E22</f>
        <v>10</v>
      </c>
      <c r="F22" s="27">
        <f>AltProposalCF!F22-CurrentStateCF!F22</f>
        <v>10</v>
      </c>
      <c r="G22" s="27">
        <f>AltProposalCF!G22-CurrentStateCF!G22</f>
        <v>10</v>
      </c>
      <c r="H22" s="22">
        <f>SUM(D22:G22)</f>
        <v>40</v>
      </c>
      <c r="I22" s="4"/>
      <c r="J22" s="4"/>
      <c r="K22" s="4"/>
      <c r="L22" s="4"/>
      <c r="M22" s="4"/>
    </row>
    <row r="23" spans="3:13" ht="12.75" customHeight="1">
      <c r="C23" s="1" t="s">
        <v>28</v>
      </c>
      <c r="D23" s="27">
        <f>AltProposalCF!D23-CurrentStateCF!D23</f>
        <v>15</v>
      </c>
      <c r="E23" s="27">
        <f>AltProposalCF!E23-CurrentStateCF!E23</f>
        <v>4</v>
      </c>
      <c r="F23" s="27">
        <f>AltProposalCF!F23-CurrentStateCF!F23</f>
        <v>11</v>
      </c>
      <c r="G23" s="27">
        <f>AltProposalCF!G23-CurrentStateCF!G23</f>
        <v>23</v>
      </c>
      <c r="H23" s="22">
        <f>SUM(D23:G23)</f>
        <v>53</v>
      </c>
      <c r="I23" s="4"/>
      <c r="J23" s="4"/>
      <c r="K23" s="4"/>
      <c r="L23" s="4"/>
      <c r="M23" s="4"/>
    </row>
    <row r="24" spans="4:13" ht="12.75" customHeight="1">
      <c r="D24" s="33"/>
      <c r="E24" s="33"/>
      <c r="F24" s="33"/>
      <c r="G24" s="33"/>
      <c r="H24" s="4"/>
      <c r="I24" s="4"/>
      <c r="J24" s="4"/>
      <c r="K24" s="4"/>
      <c r="L24" s="4"/>
      <c r="M24" s="4"/>
    </row>
    <row r="25" spans="3:13" ht="12.75" customHeight="1">
      <c r="C25" s="3" t="s">
        <v>30</v>
      </c>
      <c r="D25" s="21"/>
      <c r="E25" s="21"/>
      <c r="F25" s="21"/>
      <c r="G25" s="21"/>
      <c r="H25" s="4"/>
      <c r="I25" s="4"/>
      <c r="J25" s="4"/>
      <c r="K25" s="4"/>
      <c r="L25" s="4"/>
      <c r="M25" s="4"/>
    </row>
    <row r="26" spans="3:13" ht="12.75" customHeight="1">
      <c r="C26" s="18" t="s">
        <v>8</v>
      </c>
      <c r="D26" s="21"/>
      <c r="E26" s="21"/>
      <c r="F26" s="21"/>
      <c r="G26" s="21"/>
      <c r="H26" s="4"/>
      <c r="I26" s="4"/>
      <c r="J26" s="4"/>
      <c r="K26" s="4"/>
      <c r="L26" s="4"/>
      <c r="M26" s="4"/>
    </row>
    <row r="27" spans="3:13" ht="12.75" customHeight="1">
      <c r="C27" s="1" t="s">
        <v>36</v>
      </c>
      <c r="D27" s="27">
        <f>AltProposalCF!D27-CurrentStateCF!D27</f>
        <v>20</v>
      </c>
      <c r="E27" s="27">
        <f>AltProposalCF!E27-CurrentStateCF!E27</f>
        <v>20</v>
      </c>
      <c r="F27" s="27">
        <f>AltProposalCF!F27-CurrentStateCF!F27</f>
        <v>20</v>
      </c>
      <c r="G27" s="27">
        <f>AltProposalCF!G27-CurrentStateCF!G27</f>
        <v>20</v>
      </c>
      <c r="H27" s="22">
        <f>SUM(D27:G27)</f>
        <v>80</v>
      </c>
      <c r="I27" s="4"/>
      <c r="J27" s="4"/>
      <c r="K27" s="4"/>
      <c r="L27" s="4"/>
      <c r="M27" s="4"/>
    </row>
    <row r="28" spans="3:13" ht="12.75" customHeight="1">
      <c r="C28" s="1" t="s">
        <v>31</v>
      </c>
      <c r="D28" s="27">
        <f>AltProposalCF!D28-CurrentStateCF!D28</f>
        <v>11</v>
      </c>
      <c r="E28" s="27">
        <f>AltProposalCF!E28-CurrentStateCF!E28</f>
        <v>10</v>
      </c>
      <c r="F28" s="27">
        <f>AltProposalCF!F28-CurrentStateCF!F28</f>
        <v>10</v>
      </c>
      <c r="G28" s="27">
        <f>AltProposalCF!G28-CurrentStateCF!G28</f>
        <v>20</v>
      </c>
      <c r="H28" s="22">
        <f>SUM(D28:G28)</f>
        <v>51</v>
      </c>
      <c r="I28" s="4"/>
      <c r="J28" s="4"/>
      <c r="K28" s="4"/>
      <c r="L28" s="4"/>
      <c r="M28" s="4"/>
    </row>
    <row r="29" spans="3:13" ht="12.75" customHeight="1">
      <c r="C29" s="1" t="s">
        <v>32</v>
      </c>
      <c r="D29" s="27">
        <f>AltProposalCF!D29-CurrentStateCF!D29</f>
        <v>25</v>
      </c>
      <c r="E29" s="27">
        <f>AltProposalCF!E29-CurrentStateCF!E29</f>
        <v>17</v>
      </c>
      <c r="F29" s="27">
        <f>AltProposalCF!F29-CurrentStateCF!F29</f>
        <v>16</v>
      </c>
      <c r="G29" s="27">
        <f>AltProposalCF!G29-CurrentStateCF!G29</f>
        <v>10</v>
      </c>
      <c r="H29" s="22">
        <f>SUM(D29:G29)</f>
        <v>68</v>
      </c>
      <c r="I29" s="4"/>
      <c r="J29" s="4"/>
      <c r="K29" s="4"/>
      <c r="L29" s="4"/>
      <c r="M29" s="4"/>
    </row>
    <row r="30" spans="3:13" ht="12.75" customHeight="1">
      <c r="C30" s="1" t="s">
        <v>33</v>
      </c>
      <c r="D30" s="27">
        <f>AltProposalCF!D30-CurrentStateCF!D30</f>
        <v>10</v>
      </c>
      <c r="E30" s="27">
        <f>AltProposalCF!E30-CurrentStateCF!E30</f>
        <v>10</v>
      </c>
      <c r="F30" s="27">
        <f>AltProposalCF!F30-CurrentStateCF!F30</f>
        <v>5</v>
      </c>
      <c r="G30" s="27">
        <f>AltProposalCF!G30-CurrentStateCF!G30</f>
        <v>5</v>
      </c>
      <c r="H30" s="22">
        <f>SUM(D30:G30)</f>
        <v>30</v>
      </c>
      <c r="I30" s="4"/>
      <c r="J30" s="4"/>
      <c r="K30" s="4"/>
      <c r="L30" s="4"/>
      <c r="M30" s="4"/>
    </row>
    <row r="31" spans="3:13" ht="12.75" customHeight="1">
      <c r="C31" s="18" t="s">
        <v>10</v>
      </c>
      <c r="D31" s="21"/>
      <c r="E31" s="21"/>
      <c r="F31" s="21"/>
      <c r="G31" s="21"/>
      <c r="H31" s="4"/>
      <c r="I31" s="4"/>
      <c r="J31" s="4"/>
      <c r="K31" s="4"/>
      <c r="L31" s="4"/>
      <c r="M31" s="4"/>
    </row>
    <row r="32" spans="3:13" ht="12.75" customHeight="1">
      <c r="C32" s="1" t="s">
        <v>37</v>
      </c>
      <c r="D32" s="27">
        <f>AltProposalCF!D32-CurrentStateCF!D32</f>
        <v>5</v>
      </c>
      <c r="E32" s="27">
        <f>AltProposalCF!E32-CurrentStateCF!E32</f>
        <v>-5</v>
      </c>
      <c r="F32" s="27">
        <f>AltProposalCF!F32-CurrentStateCF!F32</f>
        <v>19</v>
      </c>
      <c r="G32" s="27">
        <f>AltProposalCF!G32-CurrentStateCF!G32</f>
        <v>-5</v>
      </c>
      <c r="H32" s="22">
        <f>SUM(D32:G32)</f>
        <v>14</v>
      </c>
      <c r="I32" s="4"/>
      <c r="J32" s="4"/>
      <c r="K32" s="4"/>
      <c r="L32" s="4"/>
      <c r="M32" s="4"/>
    </row>
    <row r="33" spans="3:13" ht="12.75" customHeight="1">
      <c r="C33" s="1" t="s">
        <v>34</v>
      </c>
      <c r="D33" s="27">
        <f>AltProposalCF!D33-CurrentStateCF!D33</f>
        <v>2</v>
      </c>
      <c r="E33" s="27">
        <f>AltProposalCF!E33-CurrentStateCF!E33</f>
        <v>-18</v>
      </c>
      <c r="F33" s="27">
        <f>AltProposalCF!F33-CurrentStateCF!F33</f>
        <v>2</v>
      </c>
      <c r="G33" s="27">
        <f>AltProposalCF!G33-CurrentStateCF!G33</f>
        <v>10</v>
      </c>
      <c r="H33" s="22">
        <f>SUM(D33:G33)</f>
        <v>-4</v>
      </c>
      <c r="I33" s="4"/>
      <c r="J33" s="4"/>
      <c r="K33" s="4"/>
      <c r="L33" s="4"/>
      <c r="M33" s="4"/>
    </row>
    <row r="34" spans="3:13" ht="12.75" customHeight="1">
      <c r="C34" s="18" t="s">
        <v>9</v>
      </c>
      <c r="D34" s="21"/>
      <c r="E34" s="21"/>
      <c r="F34" s="21"/>
      <c r="G34" s="21"/>
      <c r="H34" s="4"/>
      <c r="I34" s="4"/>
      <c r="J34" s="4"/>
      <c r="K34" s="4"/>
      <c r="L34" s="4"/>
      <c r="M34" s="4"/>
    </row>
    <row r="35" spans="3:13" ht="12.75" customHeight="1">
      <c r="C35" s="1" t="s">
        <v>43</v>
      </c>
      <c r="D35" s="27">
        <f>AltProposalCF!D35-CurrentStateCF!D35</f>
        <v>50</v>
      </c>
      <c r="E35" s="27">
        <f>AltProposalCF!E35-CurrentStateCF!E35</f>
        <v>70</v>
      </c>
      <c r="F35" s="27">
        <f>AltProposalCF!F35-CurrentStateCF!F35</f>
        <v>60</v>
      </c>
      <c r="G35" s="27">
        <f>AltProposalCF!G35-CurrentStateCF!G35</f>
        <v>80</v>
      </c>
      <c r="H35" s="22">
        <f>SUM(D35:G35)</f>
        <v>260</v>
      </c>
      <c r="I35" s="4"/>
      <c r="J35" s="4"/>
      <c r="K35" s="4"/>
      <c r="L35" s="4"/>
      <c r="M35" s="4"/>
    </row>
    <row r="36" spans="3:13" ht="12.75" customHeight="1">
      <c r="C36" s="1" t="s">
        <v>42</v>
      </c>
      <c r="D36" s="27">
        <f>AltProposalCF!D36-CurrentStateCF!D36</f>
        <v>10</v>
      </c>
      <c r="E36" s="27">
        <f>AltProposalCF!E36-CurrentStateCF!E36</f>
        <v>10</v>
      </c>
      <c r="F36" s="27">
        <f>AltProposalCF!F36-CurrentStateCF!F36</f>
        <v>10</v>
      </c>
      <c r="G36" s="27">
        <f>AltProposalCF!G36-CurrentStateCF!G36</f>
        <v>-10</v>
      </c>
      <c r="H36" s="22">
        <f>SUM(D36:G36)</f>
        <v>20</v>
      </c>
      <c r="I36" s="4"/>
      <c r="J36" s="4"/>
      <c r="K36" s="4"/>
      <c r="L36" s="4"/>
      <c r="M36" s="4"/>
    </row>
    <row r="37" spans="3:13" ht="12.75" customHeight="1">
      <c r="C37" s="18" t="s">
        <v>35</v>
      </c>
      <c r="D37" s="21"/>
      <c r="E37" s="21"/>
      <c r="F37" s="21"/>
      <c r="G37" s="21"/>
      <c r="H37" s="4"/>
      <c r="I37" s="4"/>
      <c r="J37" s="4"/>
      <c r="K37" s="4"/>
      <c r="L37" s="4"/>
      <c r="M37" s="4"/>
    </row>
    <row r="38" spans="3:13" ht="12.75" customHeight="1">
      <c r="C38" s="19" t="s">
        <v>38</v>
      </c>
      <c r="D38" s="27">
        <f>AltProposalCF!D38-CurrentStateCF!D38</f>
        <v>10</v>
      </c>
      <c r="E38" s="27">
        <f>AltProposalCF!E38-CurrentStateCF!E38</f>
        <v>2</v>
      </c>
      <c r="F38" s="27">
        <f>AltProposalCF!F38-CurrentStateCF!F38</f>
        <v>0</v>
      </c>
      <c r="G38" s="27">
        <f>AltProposalCF!G38-CurrentStateCF!G38</f>
        <v>-10</v>
      </c>
      <c r="H38" s="22">
        <f>SUM(D38:G38)</f>
        <v>2</v>
      </c>
      <c r="I38" s="4"/>
      <c r="J38" s="4"/>
      <c r="K38" s="4"/>
      <c r="L38" s="4"/>
      <c r="M38" s="4"/>
    </row>
    <row r="39" spans="3:13" ht="12.75" customHeight="1">
      <c r="C39" s="19" t="s">
        <v>39</v>
      </c>
      <c r="D39" s="27">
        <f>AltProposalCF!D39-CurrentStateCF!D39</f>
        <v>0</v>
      </c>
      <c r="E39" s="27">
        <f>AltProposalCF!E39-CurrentStateCF!E39</f>
        <v>0</v>
      </c>
      <c r="F39" s="27">
        <f>AltProposalCF!F39-CurrentStateCF!F39</f>
        <v>0</v>
      </c>
      <c r="G39" s="27">
        <f>AltProposalCF!G39-CurrentStateCF!G39</f>
        <v>-10</v>
      </c>
      <c r="H39" s="22">
        <f>SUM(D39:G39)</f>
        <v>-10</v>
      </c>
      <c r="I39" s="4"/>
      <c r="J39" s="4"/>
      <c r="K39" s="4"/>
      <c r="L39" s="4"/>
      <c r="M39" s="4"/>
    </row>
    <row r="40" spans="3:13" ht="12.75" customHeight="1">
      <c r="C40" s="19" t="s">
        <v>40</v>
      </c>
      <c r="D40" s="27">
        <f>AltProposalCF!D40-CurrentStateCF!D40</f>
        <v>4</v>
      </c>
      <c r="E40" s="27">
        <f>AltProposalCF!E40-CurrentStateCF!E40</f>
        <v>4</v>
      </c>
      <c r="F40" s="27">
        <f>AltProposalCF!F40-CurrentStateCF!F40</f>
        <v>4</v>
      </c>
      <c r="G40" s="27">
        <f>AltProposalCF!G40-CurrentStateCF!G40</f>
        <v>5</v>
      </c>
      <c r="H40" s="22">
        <f>SUM(D40:G40)</f>
        <v>17</v>
      </c>
      <c r="I40" s="4"/>
      <c r="J40" s="4"/>
      <c r="K40" s="4"/>
      <c r="L40" s="4"/>
      <c r="M40" s="4"/>
    </row>
    <row r="41" spans="3:13" ht="12.75" customHeight="1">
      <c r="C41" s="19" t="s">
        <v>41</v>
      </c>
      <c r="D41" s="27">
        <f>AltProposalCF!D41-CurrentStateCF!D41</f>
        <v>5</v>
      </c>
      <c r="E41" s="27">
        <f>AltProposalCF!E41-CurrentStateCF!E41</f>
        <v>10</v>
      </c>
      <c r="F41" s="27">
        <f>AltProposalCF!F41-CurrentStateCF!F41</f>
        <v>9</v>
      </c>
      <c r="G41" s="27">
        <f>AltProposalCF!G41-CurrentStateCF!G41</f>
        <v>0</v>
      </c>
      <c r="H41" s="22">
        <f>SUM(D41:G41)</f>
        <v>24</v>
      </c>
      <c r="I41" s="4"/>
      <c r="J41" s="4"/>
      <c r="K41" s="4"/>
      <c r="L41" s="4"/>
      <c r="M41" s="4"/>
    </row>
    <row r="42" spans="3:13" ht="12.75" customHeight="1">
      <c r="C42" s="19"/>
      <c r="D42" s="33"/>
      <c r="E42" s="33"/>
      <c r="F42" s="33"/>
      <c r="G42" s="33"/>
      <c r="H42" s="4"/>
      <c r="I42" s="4"/>
      <c r="J42" s="4"/>
      <c r="K42" s="4"/>
      <c r="L42" s="4"/>
      <c r="M42" s="4"/>
    </row>
    <row r="43" spans="4:13" ht="12.75" customHeight="1">
      <c r="D43" s="21"/>
      <c r="E43" s="21"/>
      <c r="F43" s="21"/>
      <c r="G43" s="21"/>
      <c r="H43" s="4"/>
      <c r="I43" s="4"/>
      <c r="J43" s="4"/>
      <c r="K43" s="4"/>
      <c r="L43" s="4"/>
      <c r="M43" s="4"/>
    </row>
    <row r="44" spans="3:13" ht="12.75" customHeight="1">
      <c r="C44" s="5" t="s">
        <v>15</v>
      </c>
      <c r="D44" s="24">
        <f>SUM(D20:D41)</f>
        <v>187</v>
      </c>
      <c r="E44" s="24">
        <f>SUM(E20:E41)</f>
        <v>164</v>
      </c>
      <c r="F44" s="24">
        <f>SUM(F20:F41)</f>
        <v>201</v>
      </c>
      <c r="G44" s="24">
        <f>SUM(G20:G41)</f>
        <v>182</v>
      </c>
      <c r="H44" s="25">
        <f>SUM(H20:H41)</f>
        <v>734</v>
      </c>
      <c r="I44" s="4"/>
      <c r="J44" s="4"/>
      <c r="K44" s="4"/>
      <c r="L44" s="4"/>
      <c r="M44" s="4"/>
    </row>
    <row r="45" spans="4:13" ht="12.75" customHeight="1">
      <c r="D45" s="21"/>
      <c r="E45" s="21"/>
      <c r="F45" s="21"/>
      <c r="G45" s="21"/>
      <c r="H45" s="21"/>
      <c r="I45" s="4"/>
      <c r="J45" s="4"/>
      <c r="K45" s="4"/>
      <c r="L45" s="4"/>
      <c r="M45" s="4"/>
    </row>
    <row r="46" spans="3:13" ht="12.75" customHeight="1">
      <c r="C46" s="3" t="s">
        <v>18</v>
      </c>
      <c r="D46" s="21"/>
      <c r="E46" s="21"/>
      <c r="F46" s="21"/>
      <c r="G46" s="21"/>
      <c r="H46" s="21"/>
      <c r="I46" s="4"/>
      <c r="J46" s="4"/>
      <c r="K46" s="4"/>
      <c r="L46" s="4"/>
      <c r="M46" s="4"/>
    </row>
    <row r="47" spans="3:13" ht="12.75" customHeight="1">
      <c r="C47" s="1" t="s">
        <v>3</v>
      </c>
      <c r="D47" s="21"/>
      <c r="E47" s="21"/>
      <c r="F47" s="21"/>
      <c r="G47" s="21"/>
      <c r="H47" s="21"/>
      <c r="I47" s="4"/>
      <c r="J47" s="4"/>
      <c r="K47" s="4"/>
      <c r="L47" s="4"/>
      <c r="M47" s="4"/>
    </row>
    <row r="48" spans="4:13" ht="12.75" customHeight="1">
      <c r="D48" s="21"/>
      <c r="E48" s="21"/>
      <c r="F48" s="21"/>
      <c r="G48" s="21"/>
      <c r="H48" s="21"/>
      <c r="I48" s="4"/>
      <c r="J48" s="4"/>
      <c r="K48" s="4"/>
      <c r="L48" s="4"/>
      <c r="M48" s="4"/>
    </row>
    <row r="49" spans="2:13" ht="12.75" customHeight="1">
      <c r="B49" s="3"/>
      <c r="C49" s="1" t="s">
        <v>16</v>
      </c>
      <c r="D49" s="27">
        <f>D16</f>
        <v>633.6</v>
      </c>
      <c r="E49" s="27">
        <f>E16</f>
        <v>823</v>
      </c>
      <c r="F49" s="27">
        <f>F16</f>
        <v>833</v>
      </c>
      <c r="G49" s="27">
        <f>G16</f>
        <v>1052</v>
      </c>
      <c r="H49" s="28">
        <f>H16</f>
        <v>3341.6</v>
      </c>
      <c r="I49" s="4"/>
      <c r="J49" s="4"/>
      <c r="K49" s="4"/>
      <c r="L49" s="4"/>
      <c r="M49" s="4"/>
    </row>
    <row r="50" spans="2:13" ht="12.75" customHeight="1">
      <c r="B50" s="3"/>
      <c r="C50" s="1" t="s">
        <v>17</v>
      </c>
      <c r="D50" s="27">
        <f>+D44</f>
        <v>187</v>
      </c>
      <c r="E50" s="27">
        <f>+E44</f>
        <v>164</v>
      </c>
      <c r="F50" s="27">
        <f>+F44</f>
        <v>201</v>
      </c>
      <c r="G50" s="27">
        <f>+G44</f>
        <v>182</v>
      </c>
      <c r="H50" s="28">
        <f>SUM(D50:G50)</f>
        <v>734</v>
      </c>
      <c r="I50" s="4"/>
      <c r="J50" s="4"/>
      <c r="K50" s="4"/>
      <c r="L50" s="4"/>
      <c r="M50" s="4"/>
    </row>
    <row r="51" spans="3:13" ht="12.75" customHeight="1">
      <c r="C51" s="6" t="s">
        <v>4</v>
      </c>
      <c r="D51" s="29">
        <f>D49+D50</f>
        <v>820.6</v>
      </c>
      <c r="E51" s="29">
        <f>E49+E50</f>
        <v>987</v>
      </c>
      <c r="F51" s="29">
        <f>F49+F50</f>
        <v>1034</v>
      </c>
      <c r="G51" s="29">
        <f>G49+G50</f>
        <v>1234</v>
      </c>
      <c r="H51" s="30">
        <f>H49+H50</f>
        <v>4075.6</v>
      </c>
      <c r="I51" s="11"/>
      <c r="J51" s="4"/>
      <c r="K51" s="4"/>
      <c r="L51" s="4"/>
      <c r="M51" s="4"/>
    </row>
    <row r="52" spans="3:13" ht="12.75" customHeight="1">
      <c r="C52" s="1" t="s">
        <v>21</v>
      </c>
      <c r="D52" s="27">
        <f>D51</f>
        <v>820.6</v>
      </c>
      <c r="E52" s="27">
        <f>E51+D52</f>
        <v>1807.6</v>
      </c>
      <c r="F52" s="27">
        <f>F51+E52</f>
        <v>2841.6</v>
      </c>
      <c r="G52" s="27">
        <f>G51+F52</f>
        <v>4075.6</v>
      </c>
      <c r="H52" s="28">
        <f>H51</f>
        <v>4075.6</v>
      </c>
      <c r="I52" s="4"/>
      <c r="J52" s="4"/>
      <c r="K52" s="4"/>
      <c r="L52" s="4"/>
      <c r="M52" s="4"/>
    </row>
    <row r="53" spans="4:13" ht="12.75" customHeight="1">
      <c r="D53" s="21"/>
      <c r="E53" s="21"/>
      <c r="F53" s="21"/>
      <c r="G53" s="21"/>
      <c r="H53" s="31"/>
      <c r="I53" s="4"/>
      <c r="J53" s="4"/>
      <c r="K53" s="4"/>
      <c r="L53" s="4"/>
      <c r="M53" s="4"/>
    </row>
    <row r="54" spans="3:13" ht="12.75" customHeight="1">
      <c r="C54" s="1" t="s">
        <v>5</v>
      </c>
      <c r="D54" s="21"/>
      <c r="E54" s="21"/>
      <c r="F54" s="21"/>
      <c r="G54" s="21"/>
      <c r="H54" s="32" t="s">
        <v>20</v>
      </c>
      <c r="I54" s="4"/>
      <c r="J54" s="4"/>
      <c r="K54" s="4"/>
      <c r="L54" s="4"/>
      <c r="M54" s="4"/>
    </row>
    <row r="55" spans="3:13" ht="12.75" customHeight="1">
      <c r="C55" s="9" t="str">
        <f>"     At "&amp;FIXED(ProposalCF!DCF_Rate_1*100,1)&amp;"%................................................"</f>
        <v>     At 0.0%................................................</v>
      </c>
      <c r="D55" s="27">
        <f>D51/(1+ProposalCF!DCF_Rate_1)^1</f>
        <v>820.6</v>
      </c>
      <c r="E55" s="27">
        <f>E51/(1+ProposalCF!DCF_Rate_1)^2</f>
        <v>987</v>
      </c>
      <c r="F55" s="27">
        <f>F51/(1+ProposalCF!DCF_Rate_1)^3</f>
        <v>1034</v>
      </c>
      <c r="G55" s="27">
        <f>G51/(1+ProposalCF!DCF_Rate_1)^4</f>
        <v>1234</v>
      </c>
      <c r="H55" s="28">
        <f>SUM(D55:G55)</f>
        <v>4075.6</v>
      </c>
      <c r="I55" s="11"/>
      <c r="J55" s="4"/>
      <c r="K55" s="4"/>
      <c r="L55" s="4"/>
      <c r="M55" s="4"/>
    </row>
    <row r="56" spans="4:13" ht="12.75" customHeight="1">
      <c r="D56" s="4"/>
      <c r="E56" s="4"/>
      <c r="F56" s="4"/>
      <c r="G56" s="4"/>
      <c r="H56" s="4"/>
      <c r="I56" s="4"/>
      <c r="J56" s="4"/>
      <c r="K56" s="4"/>
      <c r="L56" s="4"/>
      <c r="M56" s="4"/>
    </row>
    <row r="57" s="7" customFormat="1" ht="12.75" customHeight="1"/>
    <row r="58" spans="4:13" ht="12.75" customHeight="1">
      <c r="D58" s="4"/>
      <c r="E58" s="4"/>
      <c r="F58" s="4"/>
      <c r="G58" s="4"/>
      <c r="H58" s="4"/>
      <c r="I58" s="4"/>
      <c r="J58" s="4"/>
      <c r="K58" s="4"/>
      <c r="L58" s="4"/>
      <c r="M58" s="4"/>
    </row>
    <row r="59" spans="4:13" ht="12.75" customHeight="1">
      <c r="D59" s="4"/>
      <c r="E59" s="4"/>
      <c r="F59" s="4"/>
      <c r="G59" s="4"/>
      <c r="H59" s="4"/>
      <c r="I59" s="4"/>
      <c r="J59" s="4"/>
      <c r="K59" s="4"/>
      <c r="L59" s="4"/>
      <c r="M59" s="4"/>
    </row>
    <row r="60" spans="4:13" ht="12.75" customHeight="1">
      <c r="D60" s="4"/>
      <c r="E60" s="4"/>
      <c r="F60" s="4"/>
      <c r="G60" s="4"/>
      <c r="H60" s="4"/>
      <c r="I60" s="4"/>
      <c r="J60" s="4"/>
      <c r="K60" s="4"/>
      <c r="L60" s="4"/>
      <c r="M60" s="4"/>
    </row>
    <row r="61" spans="4:13" ht="12.75" customHeight="1">
      <c r="D61" s="4"/>
      <c r="E61" s="4"/>
      <c r="F61" s="4"/>
      <c r="G61" s="4"/>
      <c r="H61" s="4"/>
      <c r="I61" s="4"/>
      <c r="J61" s="4"/>
      <c r="K61" s="4"/>
      <c r="L61" s="4"/>
      <c r="M61" s="4"/>
    </row>
    <row r="62" spans="4:13" ht="12.75" customHeight="1">
      <c r="D62" s="4"/>
      <c r="E62" s="4"/>
      <c r="F62" s="4"/>
      <c r="G62" s="4"/>
      <c r="H62" s="4"/>
      <c r="I62" s="4"/>
      <c r="J62" s="4"/>
      <c r="K62" s="4"/>
      <c r="L62" s="4"/>
      <c r="M62" s="4"/>
    </row>
    <row r="63" spans="4:13" ht="12.75" customHeight="1">
      <c r="D63" s="4"/>
      <c r="E63" s="4"/>
      <c r="F63" s="4"/>
      <c r="G63" s="4"/>
      <c r="H63" s="4"/>
      <c r="I63" s="4"/>
      <c r="J63" s="4"/>
      <c r="K63" s="4"/>
      <c r="L63" s="4"/>
      <c r="M63" s="4"/>
    </row>
    <row r="64" spans="4:13" ht="12.75" customHeight="1">
      <c r="D64" s="4"/>
      <c r="E64" s="4"/>
      <c r="F64" s="4"/>
      <c r="G64" s="4"/>
      <c r="H64" s="4"/>
      <c r="I64" s="4"/>
      <c r="J64" s="4"/>
      <c r="K64" s="4"/>
      <c r="L64" s="4"/>
      <c r="M64" s="4"/>
    </row>
    <row r="65" spans="4:13" ht="12.75" customHeight="1">
      <c r="D65" s="4"/>
      <c r="E65" s="4"/>
      <c r="F65" s="4"/>
      <c r="G65" s="4"/>
      <c r="H65" s="4"/>
      <c r="I65" s="4"/>
      <c r="J65" s="4"/>
      <c r="K65" s="4"/>
      <c r="L65" s="4"/>
      <c r="M65" s="4"/>
    </row>
    <row r="66" spans="4:13" ht="12.75" customHeight="1">
      <c r="D66" s="4"/>
      <c r="E66" s="4"/>
      <c r="F66" s="4"/>
      <c r="G66" s="4"/>
      <c r="H66" s="4"/>
      <c r="I66" s="4"/>
      <c r="J66" s="4"/>
      <c r="K66" s="4"/>
      <c r="L66" s="4"/>
      <c r="M66" s="4"/>
    </row>
    <row r="67" spans="4:13" ht="12.75" customHeight="1">
      <c r="D67" s="4"/>
      <c r="E67" s="4"/>
      <c r="F67" s="4"/>
      <c r="G67" s="4"/>
      <c r="H67" s="4"/>
      <c r="I67" s="4"/>
      <c r="J67" s="4"/>
      <c r="K67" s="4"/>
      <c r="L67" s="4"/>
      <c r="M67" s="4"/>
    </row>
    <row r="68" spans="4:13" ht="12.75" customHeight="1">
      <c r="D68" s="4"/>
      <c r="E68" s="4"/>
      <c r="F68" s="4"/>
      <c r="G68" s="4"/>
      <c r="H68" s="4"/>
      <c r="I68" s="4"/>
      <c r="J68" s="4"/>
      <c r="K68" s="4"/>
      <c r="L68" s="4"/>
      <c r="M68" s="4"/>
    </row>
    <row r="69" spans="4:13" ht="12.75" customHeight="1">
      <c r="D69" s="4"/>
      <c r="E69" s="4"/>
      <c r="F69" s="4"/>
      <c r="G69" s="4"/>
      <c r="H69" s="4"/>
      <c r="I69" s="4"/>
      <c r="J69" s="4"/>
      <c r="K69" s="4"/>
      <c r="L69" s="4"/>
      <c r="M69" s="4"/>
    </row>
    <row r="70" spans="4:13" ht="12.75" customHeight="1">
      <c r="D70" s="4"/>
      <c r="E70" s="4"/>
      <c r="F70" s="4"/>
      <c r="G70" s="4"/>
      <c r="H70" s="4"/>
      <c r="I70" s="4"/>
      <c r="J70" s="4"/>
      <c r="K70" s="4"/>
      <c r="L70" s="4"/>
      <c r="M70" s="4"/>
    </row>
    <row r="71" spans="4:13" ht="12.75" customHeight="1">
      <c r="D71" s="4"/>
      <c r="E71" s="4"/>
      <c r="F71" s="4"/>
      <c r="G71" s="4"/>
      <c r="H71" s="4"/>
      <c r="I71" s="4"/>
      <c r="J71" s="4"/>
      <c r="K71" s="4"/>
      <c r="L71" s="4"/>
      <c r="M71" s="4"/>
    </row>
    <row r="72" spans="4:13" ht="12.75" customHeight="1">
      <c r="D72" s="4"/>
      <c r="E72" s="4"/>
      <c r="F72" s="4"/>
      <c r="G72" s="4"/>
      <c r="H72" s="4"/>
      <c r="I72" s="4"/>
      <c r="J72" s="4"/>
      <c r="K72" s="4"/>
      <c r="L72" s="4"/>
      <c r="M72" s="4"/>
    </row>
    <row r="73" spans="4:13" ht="12.75" customHeight="1">
      <c r="D73" s="4"/>
      <c r="E73" s="4"/>
      <c r="F73" s="4"/>
      <c r="G73" s="4"/>
      <c r="H73" s="4"/>
      <c r="I73" s="4"/>
      <c r="J73" s="4"/>
      <c r="K73" s="4"/>
      <c r="L73" s="4"/>
      <c r="M73" s="4"/>
    </row>
    <row r="74" spans="4:13" ht="12.75" customHeight="1">
      <c r="D74" s="4"/>
      <c r="E74" s="4"/>
      <c r="F74" s="4"/>
      <c r="G74" s="4"/>
      <c r="H74" s="4"/>
      <c r="I74" s="4"/>
      <c r="J74" s="4"/>
      <c r="K74" s="4"/>
      <c r="L74" s="4"/>
      <c r="M74" s="4"/>
    </row>
    <row r="75" spans="4:13" ht="12.75" customHeight="1">
      <c r="D75" s="4"/>
      <c r="E75" s="4"/>
      <c r="F75" s="4"/>
      <c r="G75" s="4"/>
      <c r="H75" s="4"/>
      <c r="I75" s="4"/>
      <c r="J75" s="4"/>
      <c r="K75" s="4"/>
      <c r="L75" s="4"/>
      <c r="M75" s="4"/>
    </row>
    <row r="76" spans="4:13" ht="12.75" customHeight="1">
      <c r="D76" s="4"/>
      <c r="E76" s="4"/>
      <c r="F76" s="4"/>
      <c r="G76" s="4"/>
      <c r="H76" s="4"/>
      <c r="I76" s="4"/>
      <c r="J76" s="4"/>
      <c r="K76" s="4"/>
      <c r="L76" s="4"/>
      <c r="M76" s="4"/>
    </row>
    <row r="77" spans="4:13" ht="12.75" customHeight="1">
      <c r="D77" s="4"/>
      <c r="E77" s="4"/>
      <c r="F77" s="4"/>
      <c r="G77" s="4"/>
      <c r="H77" s="4"/>
      <c r="I77" s="4"/>
      <c r="J77" s="4"/>
      <c r="K77" s="4"/>
      <c r="L77" s="4"/>
      <c r="M77" s="4"/>
    </row>
    <row r="78" spans="4:13" ht="12.75" customHeight="1">
      <c r="D78" s="4"/>
      <c r="E78" s="4"/>
      <c r="F78" s="4"/>
      <c r="G78" s="4"/>
      <c r="H78" s="4"/>
      <c r="I78" s="4"/>
      <c r="J78" s="4"/>
      <c r="K78" s="4"/>
      <c r="L78" s="4"/>
      <c r="M78" s="4"/>
    </row>
    <row r="79" spans="4:13" ht="12.75" customHeight="1">
      <c r="D79" s="4"/>
      <c r="E79" s="4"/>
      <c r="F79" s="4"/>
      <c r="G79" s="4"/>
      <c r="H79" s="4"/>
      <c r="I79" s="4"/>
      <c r="J79" s="4"/>
      <c r="K79" s="4"/>
      <c r="L79" s="4"/>
      <c r="M79" s="4"/>
    </row>
    <row r="80" spans="4:13" ht="12.75" customHeight="1">
      <c r="D80" s="4"/>
      <c r="E80" s="4"/>
      <c r="F80" s="4"/>
      <c r="G80" s="4"/>
      <c r="H80" s="4"/>
      <c r="I80" s="4"/>
      <c r="J80" s="4"/>
      <c r="K80" s="4"/>
      <c r="L80" s="4"/>
      <c r="M80" s="4"/>
    </row>
    <row r="81" spans="4:13" ht="12.75" customHeight="1">
      <c r="D81" s="4"/>
      <c r="E81" s="4"/>
      <c r="F81" s="4"/>
      <c r="G81" s="4"/>
      <c r="H81" s="4"/>
      <c r="I81" s="4"/>
      <c r="J81" s="4"/>
      <c r="K81" s="4"/>
      <c r="L81" s="4"/>
      <c r="M81" s="4"/>
    </row>
    <row r="82" spans="4:13" ht="12.75" customHeight="1">
      <c r="D82" s="4"/>
      <c r="E82" s="4"/>
      <c r="F82" s="4"/>
      <c r="G82" s="4"/>
      <c r="H82" s="4"/>
      <c r="I82" s="4"/>
      <c r="J82" s="4"/>
      <c r="K82" s="4"/>
      <c r="L82" s="4"/>
      <c r="M82" s="4"/>
    </row>
    <row r="83" spans="4:13" ht="12.75" customHeight="1">
      <c r="D83" s="4"/>
      <c r="E83" s="4"/>
      <c r="F83" s="4"/>
      <c r="G83" s="4"/>
      <c r="H83" s="4"/>
      <c r="I83" s="4"/>
      <c r="J83" s="4"/>
      <c r="K83" s="4"/>
      <c r="L83" s="4"/>
      <c r="M83" s="4"/>
    </row>
  </sheetData>
  <sheetProtection/>
  <mergeCells count="1">
    <mergeCell ref="H7:H8"/>
  </mergeCells>
  <printOptions gridLines="1"/>
  <pageMargins left="0.75" right="0.75" top="1" bottom="1" header="0.5" footer="0.5"/>
  <pageSetup fitToHeight="1" fitToWidth="1" horizontalDpi="300" verticalDpi="300" orientation="portrait" scale="80" r:id="rId1"/>
  <headerFooter alignWithMargins="0">
    <oddHeader>&amp;C&amp;F</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FF99"/>
  </sheetPr>
  <dimension ref="E2:M106"/>
  <sheetViews>
    <sheetView showGridLines="0" showRowColHeaders="0" zoomScalePageLayoutView="0" workbookViewId="0" topLeftCell="A1">
      <selection activeCell="A2" sqref="A2"/>
    </sheetView>
  </sheetViews>
  <sheetFormatPr defaultColWidth="9.140625" defaultRowHeight="12.75"/>
  <cols>
    <col min="1" max="1" width="4.28125" style="1" customWidth="1"/>
    <col min="2" max="2" width="60.7109375" style="1" customWidth="1"/>
    <col min="3" max="3" width="4.7109375" style="1" customWidth="1"/>
    <col min="4" max="4" width="60.7109375" style="1" customWidth="1"/>
    <col min="5" max="7" width="9.140625" style="1" customWidth="1"/>
    <col min="8" max="11" width="9.140625" style="21" customWidth="1"/>
    <col min="12" max="16384" width="9.140625" style="1" customWidth="1"/>
  </cols>
  <sheetData>
    <row r="2" spans="6:12" ht="12.75">
      <c r="F2" s="42"/>
      <c r="G2" s="43"/>
      <c r="H2" s="44"/>
      <c r="I2" s="44"/>
      <c r="J2" s="44"/>
      <c r="K2" s="44"/>
      <c r="L2" s="45"/>
    </row>
    <row r="3" spans="5:12" ht="12.75">
      <c r="E3" s="3"/>
      <c r="F3" s="46"/>
      <c r="G3" s="73" t="s">
        <v>68</v>
      </c>
      <c r="H3" s="73"/>
      <c r="I3" s="73"/>
      <c r="J3" s="73"/>
      <c r="K3" s="47"/>
      <c r="L3" s="48"/>
    </row>
    <row r="4" spans="6:12" ht="12.75">
      <c r="F4" s="49"/>
      <c r="G4" s="51" t="s">
        <v>49</v>
      </c>
      <c r="H4" s="47"/>
      <c r="I4" s="47"/>
      <c r="J4" s="47"/>
      <c r="K4" s="47"/>
      <c r="L4" s="48"/>
    </row>
    <row r="5" spans="6:12" ht="12.75">
      <c r="F5" s="49"/>
      <c r="G5" s="50"/>
      <c r="H5" s="47"/>
      <c r="I5" s="47"/>
      <c r="J5" s="47"/>
      <c r="K5" s="47"/>
      <c r="L5" s="48"/>
    </row>
    <row r="6" spans="6:12" ht="12.75">
      <c r="F6" s="49"/>
      <c r="G6" s="52" t="s">
        <v>60</v>
      </c>
      <c r="H6" s="58">
        <f>ProposalCF!D$8</f>
        <v>2009</v>
      </c>
      <c r="I6" s="58">
        <f>ProposalCF!E$8</f>
        <v>2010</v>
      </c>
      <c r="J6" s="58">
        <f>ProposalCF!F$8</f>
        <v>2011</v>
      </c>
      <c r="K6" s="58">
        <f>ProposalCF!G$8</f>
        <v>2012</v>
      </c>
      <c r="L6" s="48"/>
    </row>
    <row r="7" spans="6:12" ht="12.75">
      <c r="F7" s="49"/>
      <c r="G7" s="52" t="s">
        <v>66</v>
      </c>
      <c r="H7" s="59">
        <f>ProposalCF!D$51</f>
        <v>254</v>
      </c>
      <c r="I7" s="59">
        <f>ProposalCF!E$51</f>
        <v>1069</v>
      </c>
      <c r="J7" s="59">
        <f>ProposalCF!F$51</f>
        <v>1119</v>
      </c>
      <c r="K7" s="59">
        <f>ProposalCF!G$51</f>
        <v>1464</v>
      </c>
      <c r="L7" s="48"/>
    </row>
    <row r="8" spans="6:12" ht="12.75">
      <c r="F8" s="49"/>
      <c r="G8" s="50"/>
      <c r="H8" s="47"/>
      <c r="I8" s="47"/>
      <c r="J8" s="47"/>
      <c r="K8" s="47"/>
      <c r="L8" s="48"/>
    </row>
    <row r="9" spans="6:12" ht="12.75">
      <c r="F9" s="49"/>
      <c r="G9" s="52" t="s">
        <v>60</v>
      </c>
      <c r="H9" s="58">
        <f>ProposalCF!D$8</f>
        <v>2009</v>
      </c>
      <c r="I9" s="58">
        <f>ProposalCF!E$8</f>
        <v>2010</v>
      </c>
      <c r="J9" s="58">
        <f>ProposalCF!F$8</f>
        <v>2011</v>
      </c>
      <c r="K9" s="58">
        <f>ProposalCF!G$8</f>
        <v>2012</v>
      </c>
      <c r="L9" s="48"/>
    </row>
    <row r="10" spans="6:12" ht="12.75">
      <c r="F10" s="49"/>
      <c r="G10" s="52" t="s">
        <v>61</v>
      </c>
      <c r="H10" s="59">
        <f>ProposalCF!D$52</f>
        <v>254</v>
      </c>
      <c r="I10" s="59">
        <f>ProposalCF!E$52</f>
        <v>1323</v>
      </c>
      <c r="J10" s="59">
        <f>ProposalCF!F$52</f>
        <v>2442</v>
      </c>
      <c r="K10" s="59">
        <f>ProposalCF!G$52</f>
        <v>3906</v>
      </c>
      <c r="L10" s="48"/>
    </row>
    <row r="11" spans="5:12" ht="12.75">
      <c r="E11" s="9"/>
      <c r="F11" s="49"/>
      <c r="G11" s="52"/>
      <c r="H11" s="53"/>
      <c r="I11" s="53"/>
      <c r="J11" s="53"/>
      <c r="K11" s="53"/>
      <c r="L11" s="48"/>
    </row>
    <row r="12" spans="5:12" ht="12.75">
      <c r="E12" s="9"/>
      <c r="F12" s="49"/>
      <c r="G12" s="52"/>
      <c r="H12" s="53"/>
      <c r="I12" s="53"/>
      <c r="J12" s="53"/>
      <c r="K12" s="53"/>
      <c r="L12" s="48"/>
    </row>
    <row r="13" spans="5:12" ht="12.75">
      <c r="E13" s="9"/>
      <c r="F13" s="49"/>
      <c r="G13" s="52"/>
      <c r="H13" s="53"/>
      <c r="I13" s="53"/>
      <c r="J13" s="53"/>
      <c r="K13" s="53"/>
      <c r="L13" s="48"/>
    </row>
    <row r="14" spans="5:12" ht="12.75">
      <c r="E14" s="9"/>
      <c r="F14" s="49"/>
      <c r="G14" s="52"/>
      <c r="H14" s="53"/>
      <c r="I14" s="53"/>
      <c r="J14" s="53"/>
      <c r="K14" s="53"/>
      <c r="L14" s="48"/>
    </row>
    <row r="15" spans="5:12" ht="12.75">
      <c r="E15" s="9"/>
      <c r="F15" s="49"/>
      <c r="G15" s="52"/>
      <c r="H15" s="53"/>
      <c r="I15" s="53"/>
      <c r="J15" s="53"/>
      <c r="K15" s="53"/>
      <c r="L15" s="48"/>
    </row>
    <row r="16" spans="5:12" ht="12.75">
      <c r="E16" s="9"/>
      <c r="F16" s="49"/>
      <c r="G16" s="52"/>
      <c r="H16" s="53"/>
      <c r="I16" s="53"/>
      <c r="J16" s="53"/>
      <c r="K16" s="53"/>
      <c r="L16" s="48"/>
    </row>
    <row r="17" spans="5:12" ht="12.75">
      <c r="E17" s="9"/>
      <c r="F17" s="49"/>
      <c r="G17" s="52"/>
      <c r="H17" s="53"/>
      <c r="I17" s="53"/>
      <c r="J17" s="53"/>
      <c r="K17" s="53"/>
      <c r="L17" s="48"/>
    </row>
    <row r="18" spans="5:12" ht="12.75">
      <c r="E18" s="9"/>
      <c r="F18" s="49"/>
      <c r="G18" s="52"/>
      <c r="H18" s="53"/>
      <c r="I18" s="53"/>
      <c r="J18" s="53"/>
      <c r="K18" s="53"/>
      <c r="L18" s="48"/>
    </row>
    <row r="19" spans="5:12" ht="12.75">
      <c r="E19" s="9"/>
      <c r="F19" s="49"/>
      <c r="G19" s="52"/>
      <c r="H19" s="53"/>
      <c r="I19" s="53"/>
      <c r="J19" s="53"/>
      <c r="K19" s="53"/>
      <c r="L19" s="48"/>
    </row>
    <row r="20" spans="5:12" ht="12.75">
      <c r="E20" s="9"/>
      <c r="F20" s="49"/>
      <c r="G20" s="52"/>
      <c r="H20" s="53"/>
      <c r="I20" s="53"/>
      <c r="J20" s="53"/>
      <c r="K20" s="53"/>
      <c r="L20" s="48"/>
    </row>
    <row r="21" spans="5:12" ht="12.75">
      <c r="E21" s="9"/>
      <c r="F21" s="49"/>
      <c r="G21" s="52"/>
      <c r="H21" s="53"/>
      <c r="I21" s="53"/>
      <c r="J21" s="53"/>
      <c r="K21" s="53"/>
      <c r="L21" s="48"/>
    </row>
    <row r="22" spans="5:12" ht="12.75">
      <c r="E22" s="9"/>
      <c r="F22" s="49"/>
      <c r="G22" s="52"/>
      <c r="H22" s="53"/>
      <c r="I22" s="53"/>
      <c r="J22" s="53"/>
      <c r="K22" s="53"/>
      <c r="L22" s="48"/>
    </row>
    <row r="23" spans="5:12" ht="12.75">
      <c r="E23" s="9"/>
      <c r="F23" s="49"/>
      <c r="G23" s="52"/>
      <c r="H23" s="53"/>
      <c r="I23" s="53"/>
      <c r="J23" s="53"/>
      <c r="K23" s="53"/>
      <c r="L23" s="48"/>
    </row>
    <row r="24" spans="6:12" ht="12.75">
      <c r="F24" s="49"/>
      <c r="G24" s="51" t="s">
        <v>51</v>
      </c>
      <c r="H24" s="47"/>
      <c r="I24" s="47"/>
      <c r="J24" s="47"/>
      <c r="K24" s="47"/>
      <c r="L24" s="48"/>
    </row>
    <row r="25" spans="6:12" ht="12.75">
      <c r="F25" s="49"/>
      <c r="G25" s="50"/>
      <c r="H25" s="47"/>
      <c r="I25" s="47"/>
      <c r="J25" s="47"/>
      <c r="K25" s="47"/>
      <c r="L25" s="48"/>
    </row>
    <row r="26" spans="6:12" ht="12.75">
      <c r="F26" s="49"/>
      <c r="G26" s="52" t="s">
        <v>60</v>
      </c>
      <c r="H26" s="58">
        <f>ProposalCF!D$8</f>
        <v>2009</v>
      </c>
      <c r="I26" s="58">
        <f>ProposalCF!E$8</f>
        <v>2010</v>
      </c>
      <c r="J26" s="58">
        <f>ProposalCF!F$8</f>
        <v>2011</v>
      </c>
      <c r="K26" s="58">
        <f>ProposalCF!G$8</f>
        <v>2012</v>
      </c>
      <c r="L26" s="48"/>
    </row>
    <row r="27" spans="6:12" ht="12.75">
      <c r="F27" s="49"/>
      <c r="G27" s="52" t="s">
        <v>65</v>
      </c>
      <c r="H27" s="59">
        <f>AltProposalCF!D$51</f>
        <v>-198.39999999999998</v>
      </c>
      <c r="I27" s="59">
        <f>AltProposalCF!E$51</f>
        <v>294</v>
      </c>
      <c r="J27" s="59">
        <f>AltProposalCF!F$51</f>
        <v>597</v>
      </c>
      <c r="K27" s="59">
        <f>AltProposalCF!G$51</f>
        <v>891</v>
      </c>
      <c r="L27" s="48"/>
    </row>
    <row r="28" spans="6:12" ht="12.75">
      <c r="F28" s="49"/>
      <c r="G28" s="50"/>
      <c r="H28" s="47"/>
      <c r="I28" s="47"/>
      <c r="J28" s="47"/>
      <c r="K28" s="47"/>
      <c r="L28" s="48"/>
    </row>
    <row r="29" spans="6:12" ht="12.75">
      <c r="F29" s="49"/>
      <c r="G29" s="52" t="s">
        <v>60</v>
      </c>
      <c r="H29" s="58">
        <f>ProposalCF!D$8</f>
        <v>2009</v>
      </c>
      <c r="I29" s="58">
        <f>ProposalCF!E$8</f>
        <v>2010</v>
      </c>
      <c r="J29" s="58">
        <f>ProposalCF!F$8</f>
        <v>2011</v>
      </c>
      <c r="K29" s="58">
        <f>ProposalCF!G$8</f>
        <v>2012</v>
      </c>
      <c r="L29" s="48"/>
    </row>
    <row r="30" spans="6:12" ht="12.75">
      <c r="F30" s="49"/>
      <c r="G30" s="52" t="s">
        <v>67</v>
      </c>
      <c r="H30" s="59">
        <f>AltProposalCF!D$52</f>
        <v>-198.39999999999998</v>
      </c>
      <c r="I30" s="59">
        <f>AltProposalCF!E$52</f>
        <v>95.60000000000002</v>
      </c>
      <c r="J30" s="59">
        <f>AltProposalCF!F$52</f>
        <v>692.6</v>
      </c>
      <c r="K30" s="59">
        <f>AltProposalCF!G$52</f>
        <v>1583.6</v>
      </c>
      <c r="L30" s="48"/>
    </row>
    <row r="31" spans="5:13" ht="12.75">
      <c r="E31" s="9"/>
      <c r="F31" s="49"/>
      <c r="G31" s="52"/>
      <c r="H31" s="53"/>
      <c r="I31" s="53"/>
      <c r="J31" s="53"/>
      <c r="K31" s="53"/>
      <c r="L31" s="48"/>
      <c r="M31" s="9"/>
    </row>
    <row r="32" spans="5:13" ht="12.75">
      <c r="E32" s="9"/>
      <c r="F32" s="49"/>
      <c r="G32" s="52"/>
      <c r="H32" s="53"/>
      <c r="I32" s="53"/>
      <c r="J32" s="53"/>
      <c r="K32" s="53"/>
      <c r="L32" s="48"/>
      <c r="M32" s="9"/>
    </row>
    <row r="33" spans="5:12" ht="12.75">
      <c r="E33" s="9"/>
      <c r="F33" s="49"/>
      <c r="G33" s="52"/>
      <c r="H33" s="53"/>
      <c r="I33" s="53"/>
      <c r="J33" s="53"/>
      <c r="K33" s="53"/>
      <c r="L33" s="48"/>
    </row>
    <row r="34" spans="5:12" ht="12.75">
      <c r="E34" s="9"/>
      <c r="F34" s="49"/>
      <c r="G34" s="52"/>
      <c r="H34" s="53"/>
      <c r="I34" s="53"/>
      <c r="J34" s="53"/>
      <c r="K34" s="53"/>
      <c r="L34" s="48"/>
    </row>
    <row r="35" spans="5:12" ht="12.75">
      <c r="E35" s="9"/>
      <c r="F35" s="49"/>
      <c r="G35" s="52"/>
      <c r="H35" s="53"/>
      <c r="I35" s="53"/>
      <c r="J35" s="53"/>
      <c r="K35" s="53"/>
      <c r="L35" s="48"/>
    </row>
    <row r="36" spans="5:12" ht="12.75">
      <c r="E36" s="9"/>
      <c r="F36" s="49"/>
      <c r="G36" s="52"/>
      <c r="H36" s="53"/>
      <c r="I36" s="53"/>
      <c r="J36" s="53"/>
      <c r="K36" s="53"/>
      <c r="L36" s="48"/>
    </row>
    <row r="37" spans="5:12" ht="12.75">
      <c r="E37" s="9"/>
      <c r="F37" s="49"/>
      <c r="G37" s="52"/>
      <c r="H37" s="53"/>
      <c r="I37" s="53"/>
      <c r="J37" s="53"/>
      <c r="K37" s="53"/>
      <c r="L37" s="48"/>
    </row>
    <row r="38" spans="5:12" ht="12.75">
      <c r="E38" s="9"/>
      <c r="F38" s="49"/>
      <c r="G38" s="52"/>
      <c r="H38" s="53"/>
      <c r="I38" s="53"/>
      <c r="J38" s="53"/>
      <c r="K38" s="53"/>
      <c r="L38" s="48"/>
    </row>
    <row r="39" spans="5:12" ht="12.75">
      <c r="E39" s="9"/>
      <c r="F39" s="49"/>
      <c r="G39" s="52"/>
      <c r="H39" s="53"/>
      <c r="I39" s="53"/>
      <c r="J39" s="53"/>
      <c r="K39" s="53"/>
      <c r="L39" s="48"/>
    </row>
    <row r="40" spans="5:12" ht="12.75">
      <c r="E40" s="9"/>
      <c r="F40" s="49"/>
      <c r="G40" s="52"/>
      <c r="H40" s="53"/>
      <c r="I40" s="53"/>
      <c r="J40" s="53"/>
      <c r="K40" s="53"/>
      <c r="L40" s="48"/>
    </row>
    <row r="41" spans="5:12" ht="12.75">
      <c r="E41" s="9"/>
      <c r="F41" s="49"/>
      <c r="G41" s="52"/>
      <c r="H41" s="53"/>
      <c r="I41" s="53"/>
      <c r="J41" s="53"/>
      <c r="K41" s="53"/>
      <c r="L41" s="48"/>
    </row>
    <row r="42" spans="5:12" ht="12.75">
      <c r="E42" s="9"/>
      <c r="F42" s="49"/>
      <c r="G42" s="52"/>
      <c r="H42" s="53"/>
      <c r="I42" s="53"/>
      <c r="J42" s="53"/>
      <c r="K42" s="53"/>
      <c r="L42" s="48"/>
    </row>
    <row r="43" spans="5:12" ht="12.75">
      <c r="E43" s="9"/>
      <c r="F43" s="49"/>
      <c r="G43" s="51" t="s">
        <v>52</v>
      </c>
      <c r="H43" s="47"/>
      <c r="I43" s="47"/>
      <c r="J43" s="47"/>
      <c r="K43" s="47"/>
      <c r="L43" s="48"/>
    </row>
    <row r="44" spans="6:12" ht="12.75">
      <c r="F44" s="49"/>
      <c r="G44" s="50"/>
      <c r="H44" s="47"/>
      <c r="I44" s="47"/>
      <c r="J44" s="47"/>
      <c r="K44" s="47"/>
      <c r="L44" s="48"/>
    </row>
    <row r="45" spans="6:12" ht="12.75">
      <c r="F45" s="49"/>
      <c r="G45" s="52" t="s">
        <v>60</v>
      </c>
      <c r="H45" s="58">
        <f>ProposalCF!D$8</f>
        <v>2009</v>
      </c>
      <c r="I45" s="58">
        <f>ProposalCF!E$8</f>
        <v>2010</v>
      </c>
      <c r="J45" s="58">
        <f>ProposalCF!F$8</f>
        <v>2011</v>
      </c>
      <c r="K45" s="58">
        <f>ProposalCF!G$8</f>
        <v>2012</v>
      </c>
      <c r="L45" s="48"/>
    </row>
    <row r="46" spans="6:12" ht="12.75">
      <c r="F46" s="49"/>
      <c r="G46" s="52" t="s">
        <v>50</v>
      </c>
      <c r="H46" s="59">
        <f>CurrentStateCF!D$51</f>
        <v>-1019</v>
      </c>
      <c r="I46" s="59">
        <f>CurrentStateCF!E$51</f>
        <v>-693</v>
      </c>
      <c r="J46" s="59">
        <f>CurrentStateCF!F$51</f>
        <v>-437</v>
      </c>
      <c r="K46" s="59">
        <f>CurrentStateCF!G$51</f>
        <v>-343</v>
      </c>
      <c r="L46" s="48"/>
    </row>
    <row r="47" spans="6:12" ht="12.75">
      <c r="F47" s="49"/>
      <c r="G47" s="50"/>
      <c r="H47" s="47"/>
      <c r="I47" s="47"/>
      <c r="J47" s="47"/>
      <c r="K47" s="47"/>
      <c r="L47" s="48"/>
    </row>
    <row r="48" spans="6:12" ht="12.75">
      <c r="F48" s="49"/>
      <c r="G48" s="52" t="s">
        <v>60</v>
      </c>
      <c r="H48" s="58">
        <f>ProposalCF!D$8</f>
        <v>2009</v>
      </c>
      <c r="I48" s="58">
        <f>ProposalCF!E$8</f>
        <v>2010</v>
      </c>
      <c r="J48" s="58">
        <f>ProposalCF!F$8</f>
        <v>2011</v>
      </c>
      <c r="K48" s="58">
        <f>ProposalCF!G$8</f>
        <v>2012</v>
      </c>
      <c r="L48" s="48"/>
    </row>
    <row r="49" spans="6:12" ht="12.75">
      <c r="F49" s="49"/>
      <c r="G49" s="52" t="s">
        <v>62</v>
      </c>
      <c r="H49" s="59">
        <f>CurrentStateCF!D$52</f>
        <v>-1019</v>
      </c>
      <c r="I49" s="59">
        <f>CurrentStateCF!E$52</f>
        <v>-1712</v>
      </c>
      <c r="J49" s="59">
        <f>CurrentStateCF!F$52</f>
        <v>-2149</v>
      </c>
      <c r="K49" s="59">
        <f>CurrentStateCF!G$52</f>
        <v>-2492</v>
      </c>
      <c r="L49" s="48"/>
    </row>
    <row r="50" spans="6:12" ht="12.75">
      <c r="F50" s="49"/>
      <c r="G50" s="50"/>
      <c r="H50" s="47"/>
      <c r="I50" s="47"/>
      <c r="J50" s="47"/>
      <c r="K50" s="47"/>
      <c r="L50" s="48"/>
    </row>
    <row r="51" spans="6:12" ht="12.75">
      <c r="F51" s="49"/>
      <c r="G51" s="50"/>
      <c r="H51" s="47"/>
      <c r="I51" s="47"/>
      <c r="J51" s="47"/>
      <c r="K51" s="47"/>
      <c r="L51" s="48"/>
    </row>
    <row r="52" spans="6:12" ht="12.75">
      <c r="F52" s="49"/>
      <c r="G52" s="50"/>
      <c r="H52" s="47"/>
      <c r="I52" s="47"/>
      <c r="J52" s="47"/>
      <c r="K52" s="47"/>
      <c r="L52" s="48"/>
    </row>
    <row r="53" spans="6:12" ht="12.75">
      <c r="F53" s="49"/>
      <c r="G53" s="50"/>
      <c r="H53" s="47"/>
      <c r="I53" s="47"/>
      <c r="J53" s="47"/>
      <c r="K53" s="47"/>
      <c r="L53" s="48"/>
    </row>
    <row r="54" spans="6:12" ht="12.75">
      <c r="F54" s="49"/>
      <c r="G54" s="50"/>
      <c r="H54" s="47"/>
      <c r="I54" s="47"/>
      <c r="J54" s="47"/>
      <c r="K54" s="47"/>
      <c r="L54" s="48"/>
    </row>
    <row r="55" spans="6:12" ht="12.75">
      <c r="F55" s="49"/>
      <c r="G55" s="50"/>
      <c r="H55" s="47"/>
      <c r="I55" s="47"/>
      <c r="J55" s="47"/>
      <c r="K55" s="47"/>
      <c r="L55" s="48"/>
    </row>
    <row r="56" spans="6:12" ht="12.75">
      <c r="F56" s="49"/>
      <c r="G56" s="50"/>
      <c r="H56" s="47"/>
      <c r="I56" s="47"/>
      <c r="J56" s="47"/>
      <c r="K56" s="47"/>
      <c r="L56" s="48"/>
    </row>
    <row r="57" spans="6:12" ht="12.75">
      <c r="F57" s="49"/>
      <c r="G57" s="50"/>
      <c r="H57" s="47"/>
      <c r="I57" s="47"/>
      <c r="J57" s="47"/>
      <c r="K57" s="47"/>
      <c r="L57" s="48"/>
    </row>
    <row r="58" spans="6:12" ht="12.75">
      <c r="F58" s="49"/>
      <c r="G58" s="50"/>
      <c r="H58" s="47"/>
      <c r="I58" s="47"/>
      <c r="J58" s="47"/>
      <c r="K58" s="47"/>
      <c r="L58" s="48"/>
    </row>
    <row r="59" spans="6:12" ht="12.75">
      <c r="F59" s="49"/>
      <c r="G59" s="50"/>
      <c r="H59" s="47"/>
      <c r="I59" s="47"/>
      <c r="J59" s="47"/>
      <c r="K59" s="47"/>
      <c r="L59" s="48"/>
    </row>
    <row r="60" spans="6:12" ht="12.75">
      <c r="F60" s="49"/>
      <c r="G60" s="50"/>
      <c r="H60" s="47"/>
      <c r="I60" s="47"/>
      <c r="J60" s="47"/>
      <c r="K60" s="47"/>
      <c r="L60" s="48"/>
    </row>
    <row r="61" spans="6:12" ht="12.75">
      <c r="F61" s="49"/>
      <c r="G61" s="50"/>
      <c r="H61" s="47"/>
      <c r="I61" s="47"/>
      <c r="J61" s="47"/>
      <c r="K61" s="47"/>
      <c r="L61" s="48"/>
    </row>
    <row r="62" spans="6:12" ht="12.75">
      <c r="F62" s="49"/>
      <c r="G62" s="51" t="s">
        <v>63</v>
      </c>
      <c r="H62" s="47"/>
      <c r="I62" s="47"/>
      <c r="J62" s="47"/>
      <c r="K62" s="47"/>
      <c r="L62" s="48"/>
    </row>
    <row r="63" spans="6:12" ht="12.75">
      <c r="F63" s="49"/>
      <c r="G63" s="47"/>
      <c r="H63" s="47"/>
      <c r="I63" s="47"/>
      <c r="J63" s="47"/>
      <c r="K63" s="47"/>
      <c r="L63" s="48"/>
    </row>
    <row r="64" spans="6:12" ht="12.75">
      <c r="F64" s="49"/>
      <c r="G64" s="52" t="s">
        <v>60</v>
      </c>
      <c r="H64" s="58">
        <f>ProposalCF!D$8</f>
        <v>2009</v>
      </c>
      <c r="I64" s="58">
        <f>ProposalCF!E$8</f>
        <v>2010</v>
      </c>
      <c r="J64" s="58">
        <f>ProposalCF!F$8</f>
        <v>2011</v>
      </c>
      <c r="K64" s="58">
        <f>ProposalCF!G$8</f>
        <v>2012</v>
      </c>
      <c r="L64" s="48"/>
    </row>
    <row r="65" spans="6:12" ht="12.75">
      <c r="F65" s="49"/>
      <c r="G65" s="52" t="s">
        <v>66</v>
      </c>
      <c r="H65" s="59">
        <f>ProposalCF!D$51</f>
        <v>254</v>
      </c>
      <c r="I65" s="59">
        <f>ProposalCF!E$51</f>
        <v>1069</v>
      </c>
      <c r="J65" s="59">
        <f>ProposalCF!F$51</f>
        <v>1119</v>
      </c>
      <c r="K65" s="59">
        <f>ProposalCF!G$51</f>
        <v>1464</v>
      </c>
      <c r="L65" s="48"/>
    </row>
    <row r="66" spans="6:12" ht="12.75">
      <c r="F66" s="49"/>
      <c r="G66" s="52" t="s">
        <v>64</v>
      </c>
      <c r="H66" s="59">
        <f>CurrentStateCF!D$51</f>
        <v>-1019</v>
      </c>
      <c r="I66" s="59">
        <f>CurrentStateCF!E$51</f>
        <v>-693</v>
      </c>
      <c r="J66" s="59">
        <f>CurrentStateCF!F$51</f>
        <v>-437</v>
      </c>
      <c r="K66" s="59">
        <f>CurrentStateCF!G$51</f>
        <v>-343</v>
      </c>
      <c r="L66" s="48"/>
    </row>
    <row r="67" spans="6:12" ht="12.75">
      <c r="F67" s="49"/>
      <c r="G67" s="50"/>
      <c r="H67" s="47"/>
      <c r="I67" s="47"/>
      <c r="J67" s="47"/>
      <c r="K67" s="47"/>
      <c r="L67" s="48"/>
    </row>
    <row r="68" spans="6:12" ht="12.75">
      <c r="F68" s="49"/>
      <c r="G68" s="52" t="s">
        <v>60</v>
      </c>
      <c r="H68" s="58">
        <f>ProposalCF!D$8</f>
        <v>2009</v>
      </c>
      <c r="I68" s="58">
        <f>ProposalCF!E$8</f>
        <v>2010</v>
      </c>
      <c r="J68" s="58">
        <f>ProposalCF!F$8</f>
        <v>2011</v>
      </c>
      <c r="K68" s="58">
        <f>ProposalCF!G$8</f>
        <v>2012</v>
      </c>
      <c r="L68" s="48"/>
    </row>
    <row r="69" spans="6:12" ht="12.75">
      <c r="F69" s="49"/>
      <c r="G69" s="52" t="s">
        <v>61</v>
      </c>
      <c r="H69" s="59">
        <f>ProposalCF!D$52</f>
        <v>254</v>
      </c>
      <c r="I69" s="59">
        <f>ProposalCF!E$52</f>
        <v>1323</v>
      </c>
      <c r="J69" s="59">
        <f>ProposalCF!F$52</f>
        <v>2442</v>
      </c>
      <c r="K69" s="59">
        <f>ProposalCF!G$52</f>
        <v>3906</v>
      </c>
      <c r="L69" s="48"/>
    </row>
    <row r="70" spans="6:12" ht="12.75">
      <c r="F70" s="49"/>
      <c r="G70" s="52" t="s">
        <v>62</v>
      </c>
      <c r="H70" s="59">
        <f>CurrentStateCF!D$52</f>
        <v>-1019</v>
      </c>
      <c r="I70" s="59">
        <f>CurrentStateCF!E$52</f>
        <v>-1712</v>
      </c>
      <c r="J70" s="59">
        <f>CurrentStateCF!F$52</f>
        <v>-2149</v>
      </c>
      <c r="K70" s="59">
        <f>CurrentStateCF!G$52</f>
        <v>-2492</v>
      </c>
      <c r="L70" s="48"/>
    </row>
    <row r="71" spans="6:12" ht="12.75">
      <c r="F71" s="49"/>
      <c r="G71" s="50"/>
      <c r="H71" s="47"/>
      <c r="I71" s="47"/>
      <c r="J71" s="47"/>
      <c r="K71" s="47"/>
      <c r="L71" s="48"/>
    </row>
    <row r="72" spans="6:12" ht="12.75">
      <c r="F72" s="49"/>
      <c r="G72" s="50"/>
      <c r="H72" s="47"/>
      <c r="I72" s="47"/>
      <c r="J72" s="47"/>
      <c r="K72" s="47"/>
      <c r="L72" s="48"/>
    </row>
    <row r="73" spans="6:12" ht="12.75">
      <c r="F73" s="49"/>
      <c r="G73" s="50"/>
      <c r="H73" s="47"/>
      <c r="I73" s="47"/>
      <c r="J73" s="47"/>
      <c r="K73" s="47"/>
      <c r="L73" s="48"/>
    </row>
    <row r="74" spans="6:12" ht="12.75">
      <c r="F74" s="49"/>
      <c r="G74" s="50"/>
      <c r="H74" s="47"/>
      <c r="I74" s="47"/>
      <c r="J74" s="47"/>
      <c r="K74" s="47"/>
      <c r="L74" s="48"/>
    </row>
    <row r="75" spans="6:12" ht="12.75">
      <c r="F75" s="49"/>
      <c r="G75" s="50"/>
      <c r="H75" s="47"/>
      <c r="I75" s="47"/>
      <c r="J75" s="47"/>
      <c r="K75" s="47"/>
      <c r="L75" s="48"/>
    </row>
    <row r="76" spans="6:12" ht="12.75">
      <c r="F76" s="49"/>
      <c r="G76" s="50"/>
      <c r="H76" s="47"/>
      <c r="I76" s="47"/>
      <c r="J76" s="47"/>
      <c r="K76" s="47"/>
      <c r="L76" s="48"/>
    </row>
    <row r="77" spans="6:12" ht="12.75">
      <c r="F77" s="49"/>
      <c r="G77" s="50"/>
      <c r="H77" s="47"/>
      <c r="I77" s="47"/>
      <c r="J77" s="47"/>
      <c r="K77" s="47"/>
      <c r="L77" s="48"/>
    </row>
    <row r="78" spans="6:12" ht="12.75">
      <c r="F78" s="49"/>
      <c r="G78" s="50"/>
      <c r="H78" s="47"/>
      <c r="I78" s="47"/>
      <c r="J78" s="47"/>
      <c r="K78" s="47"/>
      <c r="L78" s="48"/>
    </row>
    <row r="79" spans="6:12" ht="12.75">
      <c r="F79" s="49"/>
      <c r="G79" s="50"/>
      <c r="H79" s="47"/>
      <c r="I79" s="47"/>
      <c r="J79" s="47"/>
      <c r="K79" s="47"/>
      <c r="L79" s="48"/>
    </row>
    <row r="80" spans="6:12" ht="12.75">
      <c r="F80" s="49"/>
      <c r="G80" s="50"/>
      <c r="H80" s="47"/>
      <c r="I80" s="47"/>
      <c r="J80" s="47"/>
      <c r="K80" s="47"/>
      <c r="L80" s="48"/>
    </row>
    <row r="81" spans="6:12" ht="12.75">
      <c r="F81" s="49"/>
      <c r="G81" s="50"/>
      <c r="H81" s="47"/>
      <c r="I81" s="47"/>
      <c r="J81" s="47"/>
      <c r="K81" s="47"/>
      <c r="L81" s="48"/>
    </row>
    <row r="82" spans="6:12" ht="12.75">
      <c r="F82" s="49"/>
      <c r="G82" s="50"/>
      <c r="H82" s="47"/>
      <c r="I82" s="47"/>
      <c r="J82" s="47"/>
      <c r="K82" s="47"/>
      <c r="L82" s="48"/>
    </row>
    <row r="83" spans="6:12" ht="12.75">
      <c r="F83" s="49"/>
      <c r="G83" s="50"/>
      <c r="H83" s="47"/>
      <c r="I83" s="47"/>
      <c r="J83" s="47"/>
      <c r="K83" s="47"/>
      <c r="L83" s="48"/>
    </row>
    <row r="84" spans="6:12" ht="12.75">
      <c r="F84" s="49"/>
      <c r="G84" s="50"/>
      <c r="H84" s="47"/>
      <c r="I84" s="47"/>
      <c r="J84" s="47"/>
      <c r="K84" s="47"/>
      <c r="L84" s="48"/>
    </row>
    <row r="85" spans="6:12" ht="12.75">
      <c r="F85" s="49"/>
      <c r="G85" s="51" t="s">
        <v>69</v>
      </c>
      <c r="H85" s="47"/>
      <c r="I85" s="47"/>
      <c r="J85" s="47"/>
      <c r="K85" s="47"/>
      <c r="L85" s="48"/>
    </row>
    <row r="86" spans="6:12" ht="12.75">
      <c r="F86" s="49"/>
      <c r="G86" s="50"/>
      <c r="H86" s="47"/>
      <c r="I86" s="47"/>
      <c r="J86" s="47"/>
      <c r="K86" s="47"/>
      <c r="L86" s="48"/>
    </row>
    <row r="87" spans="6:12" ht="12.75">
      <c r="F87" s="49"/>
      <c r="G87" s="52" t="s">
        <v>60</v>
      </c>
      <c r="H87" s="58">
        <f>ProposalCF!D$8</f>
        <v>2009</v>
      </c>
      <c r="I87" s="58">
        <f>ProposalCF!E$8</f>
        <v>2010</v>
      </c>
      <c r="J87" s="58">
        <f>ProposalCF!F$8</f>
        <v>2011</v>
      </c>
      <c r="K87" s="58">
        <f>ProposalCF!G$8</f>
        <v>2012</v>
      </c>
      <c r="L87" s="48"/>
    </row>
    <row r="88" spans="6:12" ht="12.75">
      <c r="F88" s="49"/>
      <c r="G88" s="52" t="s">
        <v>66</v>
      </c>
      <c r="H88" s="59">
        <f>ProposalCF!D$51</f>
        <v>254</v>
      </c>
      <c r="I88" s="59">
        <f>ProposalCF!E$51</f>
        <v>1069</v>
      </c>
      <c r="J88" s="59">
        <f>ProposalCF!F$51</f>
        <v>1119</v>
      </c>
      <c r="K88" s="59">
        <f>ProposalCF!G$51</f>
        <v>1464</v>
      </c>
      <c r="L88" s="48"/>
    </row>
    <row r="89" spans="6:12" ht="12.75">
      <c r="F89" s="49"/>
      <c r="G89" s="52" t="s">
        <v>65</v>
      </c>
      <c r="H89" s="59">
        <f>AltProposalCF!D$51</f>
        <v>-198.39999999999998</v>
      </c>
      <c r="I89" s="59">
        <f>AltProposalCF!E$51</f>
        <v>294</v>
      </c>
      <c r="J89" s="59">
        <f>AltProposalCF!F$51</f>
        <v>597</v>
      </c>
      <c r="K89" s="59">
        <f>AltProposalCF!G$51</f>
        <v>891</v>
      </c>
      <c r="L89" s="48"/>
    </row>
    <row r="90" spans="6:12" ht="12.75">
      <c r="F90" s="49"/>
      <c r="G90" s="52" t="s">
        <v>64</v>
      </c>
      <c r="H90" s="59">
        <f>CurrentStateCF!D$51</f>
        <v>-1019</v>
      </c>
      <c r="I90" s="59">
        <f>CurrentStateCF!E$51</f>
        <v>-693</v>
      </c>
      <c r="J90" s="59">
        <f>CurrentStateCF!F$51</f>
        <v>-437</v>
      </c>
      <c r="K90" s="59">
        <f>CurrentStateCF!G$51</f>
        <v>-343</v>
      </c>
      <c r="L90" s="48"/>
    </row>
    <row r="91" spans="6:12" ht="12.75">
      <c r="F91" s="49"/>
      <c r="G91" s="50"/>
      <c r="H91" s="47"/>
      <c r="I91" s="47"/>
      <c r="J91" s="47"/>
      <c r="K91" s="47"/>
      <c r="L91" s="48"/>
    </row>
    <row r="92" spans="6:12" ht="12.75">
      <c r="F92" s="49"/>
      <c r="G92" s="52" t="s">
        <v>60</v>
      </c>
      <c r="H92" s="58">
        <f>ProposalCF!D$8</f>
        <v>2009</v>
      </c>
      <c r="I92" s="58">
        <f>ProposalCF!E$8</f>
        <v>2010</v>
      </c>
      <c r="J92" s="58">
        <f>ProposalCF!F$8</f>
        <v>2011</v>
      </c>
      <c r="K92" s="58">
        <f>ProposalCF!G$8</f>
        <v>2012</v>
      </c>
      <c r="L92" s="48"/>
    </row>
    <row r="93" spans="6:12" ht="12.75">
      <c r="F93" s="49"/>
      <c r="G93" s="52" t="s">
        <v>61</v>
      </c>
      <c r="H93" s="59">
        <f>ProposalCF!D$52</f>
        <v>254</v>
      </c>
      <c r="I93" s="59">
        <f>ProposalCF!E$52</f>
        <v>1323</v>
      </c>
      <c r="J93" s="59">
        <f>ProposalCF!F$52</f>
        <v>2442</v>
      </c>
      <c r="K93" s="59">
        <f>ProposalCF!G$52</f>
        <v>3906</v>
      </c>
      <c r="L93" s="48"/>
    </row>
    <row r="94" spans="6:12" ht="12.75">
      <c r="F94" s="49"/>
      <c r="G94" s="52" t="s">
        <v>67</v>
      </c>
      <c r="H94" s="59">
        <f>AltProposalCF!D$52</f>
        <v>-198.39999999999998</v>
      </c>
      <c r="I94" s="59">
        <f>AltProposalCF!E$52</f>
        <v>95.60000000000002</v>
      </c>
      <c r="J94" s="59">
        <f>AltProposalCF!F$52</f>
        <v>692.6</v>
      </c>
      <c r="K94" s="59">
        <f>AltProposalCF!G$52</f>
        <v>1583.6</v>
      </c>
      <c r="L94" s="48"/>
    </row>
    <row r="95" spans="6:12" ht="12.75">
      <c r="F95" s="49"/>
      <c r="G95" s="52" t="s">
        <v>62</v>
      </c>
      <c r="H95" s="59">
        <f>CurrentStateCF!D$52</f>
        <v>-1019</v>
      </c>
      <c r="I95" s="59">
        <f>CurrentStateCF!E$52</f>
        <v>-1712</v>
      </c>
      <c r="J95" s="59">
        <f>CurrentStateCF!F$52</f>
        <v>-2149</v>
      </c>
      <c r="K95" s="59">
        <f>CurrentStateCF!G$52</f>
        <v>-2492</v>
      </c>
      <c r="L95" s="48"/>
    </row>
    <row r="96" spans="6:12" ht="12.75">
      <c r="F96" s="49"/>
      <c r="G96" s="50"/>
      <c r="H96" s="47"/>
      <c r="I96" s="47"/>
      <c r="J96" s="47"/>
      <c r="K96" s="47"/>
      <c r="L96" s="48"/>
    </row>
    <row r="97" spans="6:12" ht="12.75">
      <c r="F97" s="49"/>
      <c r="G97" s="50"/>
      <c r="H97" s="47"/>
      <c r="I97" s="47"/>
      <c r="J97" s="47"/>
      <c r="K97" s="47"/>
      <c r="L97" s="48"/>
    </row>
    <row r="98" spans="6:12" ht="12.75">
      <c r="F98" s="49"/>
      <c r="G98" s="50"/>
      <c r="H98" s="47"/>
      <c r="I98" s="47"/>
      <c r="J98" s="47"/>
      <c r="K98" s="47"/>
      <c r="L98" s="48"/>
    </row>
    <row r="99" spans="6:12" ht="12.75">
      <c r="F99" s="49"/>
      <c r="G99" s="50"/>
      <c r="H99" s="47"/>
      <c r="I99" s="47"/>
      <c r="J99" s="47"/>
      <c r="K99" s="47"/>
      <c r="L99" s="48"/>
    </row>
    <row r="100" spans="6:12" ht="12.75">
      <c r="F100" s="49"/>
      <c r="G100" s="50"/>
      <c r="H100" s="47"/>
      <c r="I100" s="47"/>
      <c r="J100" s="47"/>
      <c r="K100" s="47"/>
      <c r="L100" s="48"/>
    </row>
    <row r="101" spans="6:12" ht="12.75">
      <c r="F101" s="49"/>
      <c r="G101" s="50"/>
      <c r="H101" s="47"/>
      <c r="I101" s="47"/>
      <c r="J101" s="47"/>
      <c r="K101" s="47"/>
      <c r="L101" s="48"/>
    </row>
    <row r="102" spans="6:12" ht="12.75">
      <c r="F102" s="49"/>
      <c r="G102" s="50"/>
      <c r="H102" s="47"/>
      <c r="I102" s="47"/>
      <c r="J102" s="47"/>
      <c r="K102" s="47"/>
      <c r="L102" s="48"/>
    </row>
    <row r="103" spans="6:12" ht="12.75">
      <c r="F103" s="49"/>
      <c r="G103" s="50"/>
      <c r="H103" s="47"/>
      <c r="I103" s="47"/>
      <c r="J103" s="47"/>
      <c r="K103" s="47"/>
      <c r="L103" s="48"/>
    </row>
    <row r="104" spans="6:12" ht="12.75">
      <c r="F104" s="49"/>
      <c r="G104" s="50"/>
      <c r="H104" s="47"/>
      <c r="I104" s="47"/>
      <c r="J104" s="47"/>
      <c r="K104" s="47"/>
      <c r="L104" s="48"/>
    </row>
    <row r="105" spans="6:12" ht="12.75">
      <c r="F105" s="49"/>
      <c r="G105" s="50"/>
      <c r="H105" s="47"/>
      <c r="I105" s="47"/>
      <c r="J105" s="47"/>
      <c r="K105" s="47"/>
      <c r="L105" s="48"/>
    </row>
    <row r="106" spans="6:12" ht="12.75">
      <c r="F106" s="54"/>
      <c r="G106" s="55"/>
      <c r="H106" s="56"/>
      <c r="I106" s="56"/>
      <c r="J106" s="56"/>
      <c r="K106" s="56"/>
      <c r="L106" s="57"/>
    </row>
  </sheetData>
  <sheetProtection/>
  <mergeCells count="1">
    <mergeCell ref="G3:J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FF99"/>
  </sheetPr>
  <dimension ref="B2:K147"/>
  <sheetViews>
    <sheetView showGridLines="0" showRowColHeaders="0" zoomScalePageLayoutView="0" workbookViewId="0" topLeftCell="A1">
      <selection activeCell="L17" sqref="L17"/>
    </sheetView>
  </sheetViews>
  <sheetFormatPr defaultColWidth="9.140625" defaultRowHeight="12.75"/>
  <cols>
    <col min="1" max="1" width="3.7109375" style="1" customWidth="1"/>
    <col min="2" max="2" width="3.140625" style="1" customWidth="1"/>
    <col min="3" max="3" width="9.140625" style="1" customWidth="1"/>
    <col min="4" max="4" width="6.140625" style="1" customWidth="1"/>
    <col min="5" max="6" width="9.140625" style="1" customWidth="1"/>
    <col min="7" max="8" width="16.7109375" style="1" customWidth="1"/>
    <col min="9" max="9" width="9.140625" style="1" customWidth="1"/>
    <col min="10" max="11" width="14.7109375" style="1" customWidth="1"/>
    <col min="12" max="16384" width="9.140625" style="1" customWidth="1"/>
  </cols>
  <sheetData>
    <row r="2" ht="12.75">
      <c r="B2" s="3" t="s">
        <v>79</v>
      </c>
    </row>
    <row r="5" ht="12.75">
      <c r="F5" s="3" t="s">
        <v>80</v>
      </c>
    </row>
    <row r="7" spans="6:9" ht="12.75" customHeight="1">
      <c r="F7" s="145" t="s">
        <v>81</v>
      </c>
      <c r="G7" s="146"/>
      <c r="H7" s="133" t="s">
        <v>82</v>
      </c>
      <c r="I7" s="134"/>
    </row>
    <row r="8" spans="6:9" ht="12.75">
      <c r="F8" s="147"/>
      <c r="G8" s="146"/>
      <c r="H8" s="135"/>
      <c r="I8" s="134"/>
    </row>
    <row r="9" spans="2:9" ht="12.75">
      <c r="B9" s="140" t="s">
        <v>84</v>
      </c>
      <c r="C9" s="141"/>
      <c r="D9" s="123" t="s">
        <v>85</v>
      </c>
      <c r="E9" s="87"/>
      <c r="F9" s="162"/>
      <c r="G9" s="162"/>
      <c r="H9" s="164" t="s">
        <v>83</v>
      </c>
      <c r="I9" s="162"/>
    </row>
    <row r="10" spans="2:9" ht="12.75">
      <c r="B10" s="141"/>
      <c r="C10" s="141"/>
      <c r="D10" s="124"/>
      <c r="E10" s="125"/>
      <c r="F10" s="162"/>
      <c r="G10" s="162"/>
      <c r="H10" s="162"/>
      <c r="I10" s="162"/>
    </row>
    <row r="11" spans="2:9" ht="13.5" thickBot="1">
      <c r="B11" s="141"/>
      <c r="C11" s="141"/>
      <c r="D11" s="88"/>
      <c r="E11" s="89"/>
      <c r="F11" s="163"/>
      <c r="G11" s="163"/>
      <c r="H11" s="163"/>
      <c r="I11" s="163"/>
    </row>
    <row r="12" spans="2:9" ht="13.5" thickTop="1">
      <c r="B12" s="136" t="s">
        <v>96</v>
      </c>
      <c r="C12" s="137"/>
      <c r="D12" s="123" t="s">
        <v>86</v>
      </c>
      <c r="E12" s="87"/>
      <c r="F12" s="150"/>
      <c r="G12" s="151"/>
      <c r="H12" s="159" t="s">
        <v>90</v>
      </c>
      <c r="I12" s="151"/>
    </row>
    <row r="13" spans="2:9" ht="12.75">
      <c r="B13" s="138"/>
      <c r="C13" s="139"/>
      <c r="D13" s="124"/>
      <c r="E13" s="125"/>
      <c r="F13" s="160"/>
      <c r="G13" s="161"/>
      <c r="H13" s="160"/>
      <c r="I13" s="161"/>
    </row>
    <row r="14" spans="2:9" ht="12.75">
      <c r="B14" s="138"/>
      <c r="C14" s="139"/>
      <c r="D14" s="124"/>
      <c r="E14" s="125"/>
      <c r="F14" s="160"/>
      <c r="G14" s="161"/>
      <c r="H14" s="160"/>
      <c r="I14" s="161"/>
    </row>
    <row r="15" spans="2:9" ht="12.75">
      <c r="B15" s="138"/>
      <c r="C15" s="139"/>
      <c r="D15" s="88"/>
      <c r="E15" s="89"/>
      <c r="F15" s="152"/>
      <c r="G15" s="153"/>
      <c r="H15" s="152"/>
      <c r="I15" s="153"/>
    </row>
    <row r="16" spans="2:9" ht="12.75">
      <c r="B16" s="138"/>
      <c r="C16" s="139"/>
      <c r="D16" s="86" t="s">
        <v>87</v>
      </c>
      <c r="E16" s="87"/>
      <c r="F16" s="150" t="s">
        <v>91</v>
      </c>
      <c r="G16" s="151"/>
      <c r="H16" s="150" t="s">
        <v>92</v>
      </c>
      <c r="I16" s="151"/>
    </row>
    <row r="17" spans="2:9" ht="12.75">
      <c r="B17" s="138"/>
      <c r="C17" s="139"/>
      <c r="D17" s="88"/>
      <c r="E17" s="89"/>
      <c r="F17" s="152"/>
      <c r="G17" s="153"/>
      <c r="H17" s="152"/>
      <c r="I17" s="153"/>
    </row>
    <row r="18" spans="2:9" ht="12.75">
      <c r="B18" s="138"/>
      <c r="C18" s="139"/>
      <c r="D18" s="86" t="s">
        <v>88</v>
      </c>
      <c r="E18" s="87"/>
      <c r="F18" s="150" t="s">
        <v>93</v>
      </c>
      <c r="G18" s="151"/>
      <c r="H18" s="150" t="s">
        <v>94</v>
      </c>
      <c r="I18" s="151"/>
    </row>
    <row r="19" spans="2:9" ht="12.75">
      <c r="B19" s="138"/>
      <c r="C19" s="139"/>
      <c r="D19" s="88"/>
      <c r="E19" s="89"/>
      <c r="F19" s="152"/>
      <c r="G19" s="153"/>
      <c r="H19" s="152"/>
      <c r="I19" s="153"/>
    </row>
    <row r="20" spans="2:9" ht="12.75">
      <c r="B20" s="138"/>
      <c r="C20" s="139"/>
      <c r="D20" s="123" t="s">
        <v>89</v>
      </c>
      <c r="E20" s="87"/>
      <c r="F20" s="150" t="s">
        <v>95</v>
      </c>
      <c r="G20" s="151"/>
      <c r="H20" s="150" t="s">
        <v>95</v>
      </c>
      <c r="I20" s="151"/>
    </row>
    <row r="21" spans="2:9" ht="12.75">
      <c r="B21" s="138"/>
      <c r="C21" s="139"/>
      <c r="D21" s="124"/>
      <c r="E21" s="125"/>
      <c r="F21" s="160"/>
      <c r="G21" s="161"/>
      <c r="H21" s="160"/>
      <c r="I21" s="161"/>
    </row>
    <row r="22" spans="2:9" ht="12.75">
      <c r="B22" s="138"/>
      <c r="C22" s="139"/>
      <c r="D22" s="124"/>
      <c r="E22" s="125"/>
      <c r="F22" s="160"/>
      <c r="G22" s="161"/>
      <c r="H22" s="160"/>
      <c r="I22" s="161"/>
    </row>
    <row r="23" spans="2:9" ht="12.75">
      <c r="B23" s="138"/>
      <c r="C23" s="139"/>
      <c r="D23" s="88"/>
      <c r="E23" s="89"/>
      <c r="F23" s="152"/>
      <c r="G23" s="153"/>
      <c r="H23" s="152"/>
      <c r="I23" s="153"/>
    </row>
    <row r="27" spans="2:9" ht="12.75">
      <c r="B27" s="3" t="s">
        <v>97</v>
      </c>
      <c r="I27" s="10" t="s">
        <v>105</v>
      </c>
    </row>
    <row r="28" spans="2:9" ht="12.75">
      <c r="B28" s="1" t="s">
        <v>102</v>
      </c>
      <c r="I28" s="10" t="s">
        <v>106</v>
      </c>
    </row>
    <row r="29" ht="12.75">
      <c r="B29" s="1" t="s">
        <v>107</v>
      </c>
    </row>
    <row r="30" spans="6:11" ht="12.75" customHeight="1">
      <c r="F30" s="145" t="s">
        <v>81</v>
      </c>
      <c r="G30" s="146"/>
      <c r="H30" s="133" t="s">
        <v>82</v>
      </c>
      <c r="I30" s="134"/>
      <c r="J30" s="102" t="s">
        <v>108</v>
      </c>
      <c r="K30" s="102" t="s">
        <v>109</v>
      </c>
    </row>
    <row r="31" spans="6:11" ht="13.5" thickBot="1">
      <c r="F31" s="154"/>
      <c r="G31" s="155"/>
      <c r="H31" s="156"/>
      <c r="I31" s="157"/>
      <c r="J31" s="103"/>
      <c r="K31" s="103"/>
    </row>
    <row r="32" spans="2:11" ht="12.75">
      <c r="B32" s="140" t="s">
        <v>84</v>
      </c>
      <c r="C32" s="141"/>
      <c r="D32" s="123" t="s">
        <v>85</v>
      </c>
      <c r="E32" s="87"/>
      <c r="F32" s="142" t="s">
        <v>110</v>
      </c>
      <c r="G32" s="142"/>
      <c r="H32" s="144">
        <f>SUM(Scenario1_Cost_PS)</f>
        <v>-1245</v>
      </c>
      <c r="I32" s="82"/>
      <c r="J32" s="104">
        <f>SUM(F32:I34)</f>
        <v>-1245</v>
      </c>
      <c r="K32" s="130">
        <f>J32/J47</f>
        <v>0.33485745024206565</v>
      </c>
    </row>
    <row r="33" spans="2:11" ht="12.75">
      <c r="B33" s="141"/>
      <c r="C33" s="141"/>
      <c r="D33" s="124"/>
      <c r="E33" s="125"/>
      <c r="F33" s="142"/>
      <c r="G33" s="142"/>
      <c r="H33" s="142"/>
      <c r="I33" s="82"/>
      <c r="J33" s="128"/>
      <c r="K33" s="131"/>
    </row>
    <row r="34" spans="2:11" ht="13.5" thickBot="1">
      <c r="B34" s="141"/>
      <c r="C34" s="141"/>
      <c r="D34" s="88"/>
      <c r="E34" s="89"/>
      <c r="F34" s="143"/>
      <c r="G34" s="143"/>
      <c r="H34" s="143"/>
      <c r="I34" s="84"/>
      <c r="J34" s="129"/>
      <c r="K34" s="131"/>
    </row>
    <row r="35" spans="2:11" ht="13.5" customHeight="1" thickTop="1">
      <c r="B35" s="136" t="s">
        <v>96</v>
      </c>
      <c r="C35" s="137"/>
      <c r="D35" s="123" t="s">
        <v>86</v>
      </c>
      <c r="E35" s="87"/>
      <c r="F35" s="80" t="s">
        <v>110</v>
      </c>
      <c r="G35" s="81"/>
      <c r="H35" s="126">
        <f>SUM(Scenario1_SDC_Ongoing)</f>
        <v>-933</v>
      </c>
      <c r="I35" s="148"/>
      <c r="J35" s="94">
        <f>SUM(F35:I38)</f>
        <v>-933</v>
      </c>
      <c r="K35" s="115">
        <f>J35/J47</f>
        <v>0.2509413663259817</v>
      </c>
    </row>
    <row r="36" spans="2:11" ht="12.75">
      <c r="B36" s="138"/>
      <c r="C36" s="139"/>
      <c r="D36" s="124"/>
      <c r="E36" s="125"/>
      <c r="F36" s="82"/>
      <c r="G36" s="83"/>
      <c r="H36" s="82"/>
      <c r="I36" s="158"/>
      <c r="J36" s="128"/>
      <c r="K36" s="119"/>
    </row>
    <row r="37" spans="2:11" ht="12.75">
      <c r="B37" s="138"/>
      <c r="C37" s="139"/>
      <c r="D37" s="124"/>
      <c r="E37" s="125"/>
      <c r="F37" s="82"/>
      <c r="G37" s="83"/>
      <c r="H37" s="82"/>
      <c r="I37" s="158"/>
      <c r="J37" s="128"/>
      <c r="K37" s="119"/>
    </row>
    <row r="38" spans="2:11" ht="12.75">
      <c r="B38" s="138"/>
      <c r="C38" s="139"/>
      <c r="D38" s="88"/>
      <c r="E38" s="89"/>
      <c r="F38" s="84"/>
      <c r="G38" s="85"/>
      <c r="H38" s="84"/>
      <c r="I38" s="149"/>
      <c r="J38" s="132"/>
      <c r="K38" s="116"/>
    </row>
    <row r="39" spans="2:11" ht="12.75">
      <c r="B39" s="138"/>
      <c r="C39" s="139"/>
      <c r="D39" s="86" t="s">
        <v>87</v>
      </c>
      <c r="E39" s="87"/>
      <c r="F39" s="80">
        <f>SUM(Scenario1_SW_Impl)</f>
        <v>-150</v>
      </c>
      <c r="G39" s="81"/>
      <c r="H39" s="80">
        <f>SUM(Scenario1_SW_Ongoing)</f>
        <v>-50</v>
      </c>
      <c r="I39" s="148"/>
      <c r="J39" s="90">
        <f>SUM(F39:I40)</f>
        <v>-200</v>
      </c>
      <c r="K39" s="115">
        <f>J39/J47</f>
        <v>0.05379236148466918</v>
      </c>
    </row>
    <row r="40" spans="2:11" ht="12.75">
      <c r="B40" s="138"/>
      <c r="C40" s="139"/>
      <c r="D40" s="88"/>
      <c r="E40" s="89"/>
      <c r="F40" s="84"/>
      <c r="G40" s="85"/>
      <c r="H40" s="84"/>
      <c r="I40" s="149"/>
      <c r="J40" s="114"/>
      <c r="K40" s="116"/>
    </row>
    <row r="41" spans="2:11" ht="12.75">
      <c r="B41" s="138"/>
      <c r="C41" s="139"/>
      <c r="D41" s="86" t="s">
        <v>88</v>
      </c>
      <c r="E41" s="87"/>
      <c r="F41" s="80">
        <f>SUM(Scenario1_HW_Impl)</f>
        <v>-200</v>
      </c>
      <c r="G41" s="81"/>
      <c r="H41" s="80">
        <f>SUM(Scenario1_HW_Ongoing)</f>
        <v>-120</v>
      </c>
      <c r="I41" s="81"/>
      <c r="J41" s="90">
        <f>SUM(F41:I42)</f>
        <v>-320</v>
      </c>
      <c r="K41" s="115">
        <f>J41/J47</f>
        <v>0.08606777837547068</v>
      </c>
    </row>
    <row r="42" spans="2:11" ht="12.75">
      <c r="B42" s="138"/>
      <c r="C42" s="139"/>
      <c r="D42" s="88"/>
      <c r="E42" s="89"/>
      <c r="F42" s="84"/>
      <c r="G42" s="85"/>
      <c r="H42" s="84"/>
      <c r="I42" s="85"/>
      <c r="J42" s="114"/>
      <c r="K42" s="116"/>
    </row>
    <row r="43" spans="2:11" ht="12.75">
      <c r="B43" s="138"/>
      <c r="C43" s="139"/>
      <c r="D43" s="123" t="s">
        <v>89</v>
      </c>
      <c r="E43" s="87"/>
      <c r="F43" s="80">
        <f>SUM(Scenario1_IT_Proj)</f>
        <v>-80</v>
      </c>
      <c r="G43" s="81"/>
      <c r="H43" s="80">
        <f>SUM(Scenario1_IT_Ongoing)</f>
        <v>-940</v>
      </c>
      <c r="I43" s="81"/>
      <c r="J43" s="90">
        <f>SUM(F43:I46)</f>
        <v>-1020</v>
      </c>
      <c r="K43" s="115">
        <f>J43/J47</f>
        <v>0.2743410435718128</v>
      </c>
    </row>
    <row r="44" spans="2:11" ht="12.75">
      <c r="B44" s="138"/>
      <c r="C44" s="139"/>
      <c r="D44" s="124"/>
      <c r="E44" s="125"/>
      <c r="F44" s="82"/>
      <c r="G44" s="83"/>
      <c r="H44" s="82"/>
      <c r="I44" s="83"/>
      <c r="J44" s="117"/>
      <c r="K44" s="119"/>
    </row>
    <row r="45" spans="2:11" ht="12.75">
      <c r="B45" s="138"/>
      <c r="C45" s="139"/>
      <c r="D45" s="124"/>
      <c r="E45" s="125"/>
      <c r="F45" s="82"/>
      <c r="G45" s="83"/>
      <c r="H45" s="82"/>
      <c r="I45" s="83"/>
      <c r="J45" s="117"/>
      <c r="K45" s="119"/>
    </row>
    <row r="46" spans="2:11" ht="13.5" thickBot="1">
      <c r="B46" s="138"/>
      <c r="C46" s="139"/>
      <c r="D46" s="88"/>
      <c r="E46" s="89"/>
      <c r="F46" s="82"/>
      <c r="G46" s="83"/>
      <c r="H46" s="82"/>
      <c r="I46" s="83"/>
      <c r="J46" s="118"/>
      <c r="K46" s="116"/>
    </row>
    <row r="47" spans="2:10" ht="14.25" thickBot="1" thickTop="1">
      <c r="B47" s="127"/>
      <c r="C47" s="127"/>
      <c r="D47" s="76" t="s">
        <v>108</v>
      </c>
      <c r="E47" s="76"/>
      <c r="F47" s="77">
        <f>SUM(F32:G46)</f>
        <v>-430</v>
      </c>
      <c r="G47" s="78"/>
      <c r="H47" s="77">
        <f>SUM(H32:I46)</f>
        <v>-3288</v>
      </c>
      <c r="I47" s="79"/>
      <c r="J47" s="64">
        <f>SUM(J32:J46)</f>
        <v>-3718</v>
      </c>
    </row>
    <row r="48" spans="2:11" ht="14.25" thickBot="1" thickTop="1">
      <c r="B48" s="127"/>
      <c r="C48" s="127"/>
      <c r="D48" s="76" t="s">
        <v>109</v>
      </c>
      <c r="E48" s="76"/>
      <c r="F48" s="120">
        <f>F47/J47</f>
        <v>0.11565357719203873</v>
      </c>
      <c r="G48" s="121"/>
      <c r="H48" s="120">
        <f>H47/J47</f>
        <v>0.8843464228079613</v>
      </c>
      <c r="I48" s="122"/>
      <c r="J48" s="65"/>
      <c r="K48" s="66">
        <f>J47/J47</f>
        <v>1</v>
      </c>
    </row>
    <row r="49" ht="13.5" thickTop="1"/>
    <row r="52" spans="2:10" ht="12.75">
      <c r="B52" s="3" t="s">
        <v>98</v>
      </c>
      <c r="I52" s="10" t="s">
        <v>105</v>
      </c>
      <c r="J52" s="10"/>
    </row>
    <row r="53" spans="2:10" ht="12.75">
      <c r="B53" s="1" t="s">
        <v>102</v>
      </c>
      <c r="I53" s="10" t="s">
        <v>106</v>
      </c>
      <c r="J53" s="10"/>
    </row>
    <row r="54" ht="12.75">
      <c r="B54" s="1" t="s">
        <v>107</v>
      </c>
    </row>
    <row r="55" spans="6:11" ht="12.75" customHeight="1">
      <c r="F55" s="145" t="s">
        <v>81</v>
      </c>
      <c r="G55" s="146"/>
      <c r="H55" s="133" t="s">
        <v>82</v>
      </c>
      <c r="I55" s="134"/>
      <c r="J55" s="102" t="s">
        <v>108</v>
      </c>
      <c r="K55" s="102" t="s">
        <v>109</v>
      </c>
    </row>
    <row r="56" spans="6:11" ht="13.5" thickBot="1">
      <c r="F56" s="147"/>
      <c r="G56" s="146"/>
      <c r="H56" s="135"/>
      <c r="I56" s="134"/>
      <c r="J56" s="103"/>
      <c r="K56" s="103"/>
    </row>
    <row r="57" spans="2:11" ht="12.75">
      <c r="B57" s="140" t="s">
        <v>84</v>
      </c>
      <c r="C57" s="141"/>
      <c r="D57" s="123" t="s">
        <v>85</v>
      </c>
      <c r="E57" s="87"/>
      <c r="F57" s="142"/>
      <c r="G57" s="142"/>
      <c r="H57" s="144">
        <f>SUM(Scenario2_Cost_PS)</f>
        <v>-1488</v>
      </c>
      <c r="I57" s="142"/>
      <c r="J57" s="104">
        <f>SUM(F57:I59)</f>
        <v>-1488</v>
      </c>
      <c r="K57" s="130">
        <f>J57/J72</f>
        <v>0.35538571769763555</v>
      </c>
    </row>
    <row r="58" spans="2:11" ht="12.75">
      <c r="B58" s="141"/>
      <c r="C58" s="141"/>
      <c r="D58" s="124"/>
      <c r="E58" s="125"/>
      <c r="F58" s="142"/>
      <c r="G58" s="142"/>
      <c r="H58" s="142"/>
      <c r="I58" s="142"/>
      <c r="J58" s="128"/>
      <c r="K58" s="131"/>
    </row>
    <row r="59" spans="2:11" ht="13.5" thickBot="1">
      <c r="B59" s="141"/>
      <c r="C59" s="141"/>
      <c r="D59" s="88"/>
      <c r="E59" s="89"/>
      <c r="F59" s="143"/>
      <c r="G59" s="143"/>
      <c r="H59" s="143"/>
      <c r="I59" s="143"/>
      <c r="J59" s="129"/>
      <c r="K59" s="131"/>
    </row>
    <row r="60" spans="2:11" ht="13.5" thickTop="1">
      <c r="B60" s="136" t="s">
        <v>96</v>
      </c>
      <c r="C60" s="137"/>
      <c r="D60" s="123" t="s">
        <v>86</v>
      </c>
      <c r="E60" s="87"/>
      <c r="F60" s="80"/>
      <c r="G60" s="81"/>
      <c r="H60" s="126">
        <f>SUM(Scenario2_SDC_Ongoing)</f>
        <v>-1001</v>
      </c>
      <c r="I60" s="81"/>
      <c r="J60" s="94">
        <f>SUM(F60:I63)</f>
        <v>-1001</v>
      </c>
      <c r="K60" s="115">
        <f>J60/J72</f>
        <v>0.2390733221877239</v>
      </c>
    </row>
    <row r="61" spans="2:11" ht="12.75">
      <c r="B61" s="138"/>
      <c r="C61" s="139"/>
      <c r="D61" s="124"/>
      <c r="E61" s="125"/>
      <c r="F61" s="82"/>
      <c r="G61" s="83"/>
      <c r="H61" s="82"/>
      <c r="I61" s="83"/>
      <c r="J61" s="128"/>
      <c r="K61" s="119"/>
    </row>
    <row r="62" spans="2:11" ht="12.75">
      <c r="B62" s="138"/>
      <c r="C62" s="139"/>
      <c r="D62" s="124"/>
      <c r="E62" s="125"/>
      <c r="F62" s="82"/>
      <c r="G62" s="83"/>
      <c r="H62" s="82"/>
      <c r="I62" s="83"/>
      <c r="J62" s="128"/>
      <c r="K62" s="119"/>
    </row>
    <row r="63" spans="2:11" ht="12.75">
      <c r="B63" s="138"/>
      <c r="C63" s="139"/>
      <c r="D63" s="88"/>
      <c r="E63" s="89"/>
      <c r="F63" s="84"/>
      <c r="G63" s="85"/>
      <c r="H63" s="84"/>
      <c r="I63" s="85"/>
      <c r="J63" s="132"/>
      <c r="K63" s="116"/>
    </row>
    <row r="64" spans="2:11" ht="12.75">
      <c r="B64" s="138"/>
      <c r="C64" s="139"/>
      <c r="D64" s="86" t="s">
        <v>87</v>
      </c>
      <c r="E64" s="87"/>
      <c r="F64" s="80">
        <f>SUM(Scenario2_SW_Impl)</f>
        <v>-170</v>
      </c>
      <c r="G64" s="81"/>
      <c r="H64" s="80">
        <f>SUM(Scenario2_SW_Ongoing)</f>
        <v>-70</v>
      </c>
      <c r="I64" s="81"/>
      <c r="J64" s="90">
        <f>SUM(F64:I65)</f>
        <v>-240</v>
      </c>
      <c r="K64" s="115">
        <f>J64/J72</f>
        <v>0.057320277048005734</v>
      </c>
    </row>
    <row r="65" spans="2:11" ht="12.75">
      <c r="B65" s="138"/>
      <c r="C65" s="139"/>
      <c r="D65" s="88"/>
      <c r="E65" s="89"/>
      <c r="F65" s="84"/>
      <c r="G65" s="85"/>
      <c r="H65" s="84"/>
      <c r="I65" s="85"/>
      <c r="J65" s="114"/>
      <c r="K65" s="116"/>
    </row>
    <row r="66" spans="2:11" ht="12.75">
      <c r="B66" s="138"/>
      <c r="C66" s="139"/>
      <c r="D66" s="86" t="s">
        <v>88</v>
      </c>
      <c r="E66" s="87"/>
      <c r="F66" s="80">
        <f>SUM(Scenario2_HW_Impl)</f>
        <v>-210</v>
      </c>
      <c r="G66" s="81"/>
      <c r="H66" s="80">
        <f>SUM(Scenario2_HW_Ongoing)</f>
        <v>-140</v>
      </c>
      <c r="I66" s="81"/>
      <c r="J66" s="90">
        <f>SUM(F66:I67)</f>
        <v>-350</v>
      </c>
      <c r="K66" s="115">
        <f>J66/J72</f>
        <v>0.08359207069500836</v>
      </c>
    </row>
    <row r="67" spans="2:11" ht="12.75">
      <c r="B67" s="138"/>
      <c r="C67" s="139"/>
      <c r="D67" s="88"/>
      <c r="E67" s="89"/>
      <c r="F67" s="84"/>
      <c r="G67" s="85"/>
      <c r="H67" s="84"/>
      <c r="I67" s="85"/>
      <c r="J67" s="114"/>
      <c r="K67" s="116"/>
    </row>
    <row r="68" spans="2:11" ht="12.75">
      <c r="B68" s="138"/>
      <c r="C68" s="139"/>
      <c r="D68" s="123" t="s">
        <v>89</v>
      </c>
      <c r="E68" s="87"/>
      <c r="F68" s="80">
        <f>SUM(Scenario2_IT_Proj)</f>
        <v>-118</v>
      </c>
      <c r="G68" s="81"/>
      <c r="H68" s="80">
        <f>SUM(Scenario2_IT_Ongoing)</f>
        <v>-990</v>
      </c>
      <c r="I68" s="81"/>
      <c r="J68" s="90">
        <f>SUM(F68:I71)</f>
        <v>-1108</v>
      </c>
      <c r="K68" s="115">
        <f>J68/J72</f>
        <v>0.26462861237162644</v>
      </c>
    </row>
    <row r="69" spans="2:11" ht="12.75">
      <c r="B69" s="138"/>
      <c r="C69" s="139"/>
      <c r="D69" s="124"/>
      <c r="E69" s="125"/>
      <c r="F69" s="82"/>
      <c r="G69" s="83"/>
      <c r="H69" s="82"/>
      <c r="I69" s="83"/>
      <c r="J69" s="117"/>
      <c r="K69" s="119"/>
    </row>
    <row r="70" spans="2:11" ht="12.75">
      <c r="B70" s="138"/>
      <c r="C70" s="139"/>
      <c r="D70" s="124"/>
      <c r="E70" s="125"/>
      <c r="F70" s="82"/>
      <c r="G70" s="83"/>
      <c r="H70" s="82"/>
      <c r="I70" s="83"/>
      <c r="J70" s="117"/>
      <c r="K70" s="119"/>
    </row>
    <row r="71" spans="2:11" ht="13.5" thickBot="1">
      <c r="B71" s="138"/>
      <c r="C71" s="139"/>
      <c r="D71" s="88"/>
      <c r="E71" s="89"/>
      <c r="F71" s="84"/>
      <c r="G71" s="85"/>
      <c r="H71" s="84"/>
      <c r="I71" s="85"/>
      <c r="J71" s="118"/>
      <c r="K71" s="116"/>
    </row>
    <row r="72" spans="2:10" ht="14.25" thickBot="1" thickTop="1">
      <c r="B72" s="127"/>
      <c r="C72" s="127"/>
      <c r="D72" s="76" t="s">
        <v>108</v>
      </c>
      <c r="E72" s="76"/>
      <c r="F72" s="77">
        <f>SUM(F57:G71)</f>
        <v>-498</v>
      </c>
      <c r="G72" s="78"/>
      <c r="H72" s="77">
        <f>SUM(H57:I71)</f>
        <v>-3689</v>
      </c>
      <c r="I72" s="79"/>
      <c r="J72" s="64">
        <f>SUM(J57:J71)</f>
        <v>-4187</v>
      </c>
    </row>
    <row r="73" spans="2:11" ht="14.25" thickBot="1" thickTop="1">
      <c r="B73" s="127"/>
      <c r="C73" s="127"/>
      <c r="D73" s="76" t="s">
        <v>109</v>
      </c>
      <c r="E73" s="76"/>
      <c r="F73" s="120">
        <f>F72/J72</f>
        <v>0.11893957487461189</v>
      </c>
      <c r="G73" s="121"/>
      <c r="H73" s="120">
        <f>H72/J72</f>
        <v>0.8810604251253881</v>
      </c>
      <c r="I73" s="122"/>
      <c r="J73" s="65"/>
      <c r="K73" s="66">
        <f>J72/J72</f>
        <v>1</v>
      </c>
    </row>
    <row r="74" ht="13.5" thickTop="1"/>
    <row r="77" spans="2:9" ht="12.75">
      <c r="B77" s="3" t="s">
        <v>99</v>
      </c>
      <c r="I77" s="10" t="s">
        <v>105</v>
      </c>
    </row>
    <row r="78" spans="2:9" ht="12.75">
      <c r="B78" s="1" t="s">
        <v>102</v>
      </c>
      <c r="I78" s="10" t="s">
        <v>106</v>
      </c>
    </row>
    <row r="79" ht="12.75">
      <c r="B79" s="1" t="s">
        <v>107</v>
      </c>
    </row>
    <row r="80" spans="6:11" ht="12.75" customHeight="1">
      <c r="F80" s="145" t="s">
        <v>81</v>
      </c>
      <c r="G80" s="146"/>
      <c r="H80" s="133" t="s">
        <v>82</v>
      </c>
      <c r="I80" s="134"/>
      <c r="J80" s="102" t="s">
        <v>108</v>
      </c>
      <c r="K80" s="102" t="s">
        <v>109</v>
      </c>
    </row>
    <row r="81" spans="6:11" ht="13.5" thickBot="1">
      <c r="F81" s="147"/>
      <c r="G81" s="146"/>
      <c r="H81" s="135"/>
      <c r="I81" s="134"/>
      <c r="J81" s="103"/>
      <c r="K81" s="103"/>
    </row>
    <row r="82" spans="2:11" ht="12.75">
      <c r="B82" s="140" t="s">
        <v>84</v>
      </c>
      <c r="C82" s="141"/>
      <c r="D82" s="123" t="s">
        <v>85</v>
      </c>
      <c r="E82" s="87"/>
      <c r="F82" s="142"/>
      <c r="G82" s="142"/>
      <c r="H82" s="144">
        <f>SUM(Baseline_Cost_PS)</f>
        <v>-1670</v>
      </c>
      <c r="I82" s="142"/>
      <c r="J82" s="104">
        <f>SUM(F82:I84)</f>
        <v>-1670</v>
      </c>
      <c r="K82" s="112">
        <f>J82/J97</f>
        <v>0.4225708502024291</v>
      </c>
    </row>
    <row r="83" spans="2:11" ht="12.75">
      <c r="B83" s="141"/>
      <c r="C83" s="141"/>
      <c r="D83" s="124"/>
      <c r="E83" s="125"/>
      <c r="F83" s="142"/>
      <c r="G83" s="142"/>
      <c r="H83" s="142"/>
      <c r="I83" s="142"/>
      <c r="J83" s="95"/>
      <c r="K83" s="113"/>
    </row>
    <row r="84" spans="2:11" ht="13.5" thickBot="1">
      <c r="B84" s="141"/>
      <c r="C84" s="141"/>
      <c r="D84" s="88"/>
      <c r="E84" s="89"/>
      <c r="F84" s="143"/>
      <c r="G84" s="143"/>
      <c r="H84" s="143"/>
      <c r="I84" s="143"/>
      <c r="J84" s="105"/>
      <c r="K84" s="113"/>
    </row>
    <row r="85" spans="2:11" ht="13.5" customHeight="1" thickTop="1">
      <c r="B85" s="136" t="s">
        <v>96</v>
      </c>
      <c r="C85" s="137"/>
      <c r="D85" s="123" t="s">
        <v>86</v>
      </c>
      <c r="E85" s="87"/>
      <c r="F85" s="80"/>
      <c r="G85" s="81"/>
      <c r="H85" s="126">
        <f>SUM(Scenario2_SDC_Ongoing)</f>
        <v>-1001</v>
      </c>
      <c r="I85" s="81"/>
      <c r="J85" s="94">
        <f>SUM(F85:I88)</f>
        <v>-1001</v>
      </c>
      <c r="K85" s="109">
        <f>J85/J97</f>
        <v>0.2532894736842105</v>
      </c>
    </row>
    <row r="86" spans="2:11" ht="12.75">
      <c r="B86" s="138"/>
      <c r="C86" s="139"/>
      <c r="D86" s="124"/>
      <c r="E86" s="125"/>
      <c r="F86" s="82"/>
      <c r="G86" s="83"/>
      <c r="H86" s="82"/>
      <c r="I86" s="83"/>
      <c r="J86" s="95"/>
      <c r="K86" s="110"/>
    </row>
    <row r="87" spans="2:11" ht="12.75">
      <c r="B87" s="138"/>
      <c r="C87" s="139"/>
      <c r="D87" s="124"/>
      <c r="E87" s="125"/>
      <c r="F87" s="82"/>
      <c r="G87" s="83"/>
      <c r="H87" s="82"/>
      <c r="I87" s="83"/>
      <c r="J87" s="95"/>
      <c r="K87" s="110"/>
    </row>
    <row r="88" spans="2:11" ht="12.75">
      <c r="B88" s="138"/>
      <c r="C88" s="139"/>
      <c r="D88" s="88"/>
      <c r="E88" s="89"/>
      <c r="F88" s="84"/>
      <c r="G88" s="85"/>
      <c r="H88" s="84"/>
      <c r="I88" s="85"/>
      <c r="J88" s="96"/>
      <c r="K88" s="111"/>
    </row>
    <row r="89" spans="2:11" ht="12.75">
      <c r="B89" s="138"/>
      <c r="C89" s="139"/>
      <c r="D89" s="86" t="s">
        <v>87</v>
      </c>
      <c r="E89" s="87"/>
      <c r="F89" s="80">
        <f>SUM(Baseline_SW_Impl)</f>
        <v>-184</v>
      </c>
      <c r="G89" s="81"/>
      <c r="H89" s="80">
        <f>SUM(Baseline_SW_Ongoing)</f>
        <v>-66</v>
      </c>
      <c r="I89" s="81"/>
      <c r="J89" s="90">
        <f>SUM(F89:I90)</f>
        <v>-250</v>
      </c>
      <c r="K89" s="109">
        <f>J89/J97</f>
        <v>0.06325910931174089</v>
      </c>
    </row>
    <row r="90" spans="2:11" ht="12.75">
      <c r="B90" s="138"/>
      <c r="C90" s="139"/>
      <c r="D90" s="88"/>
      <c r="E90" s="89"/>
      <c r="F90" s="84"/>
      <c r="G90" s="85"/>
      <c r="H90" s="84"/>
      <c r="I90" s="85"/>
      <c r="J90" s="91"/>
      <c r="K90" s="111"/>
    </row>
    <row r="91" spans="2:11" ht="12.75">
      <c r="B91" s="138"/>
      <c r="C91" s="139"/>
      <c r="D91" s="86" t="s">
        <v>88</v>
      </c>
      <c r="E91" s="87"/>
      <c r="F91" s="80">
        <f>SUM(Incremental1_HW_Impl)</f>
        <v>270</v>
      </c>
      <c r="G91" s="81"/>
      <c r="H91" s="80">
        <f>SUM(Baseline_HW_Ongoing)</f>
        <v>-160</v>
      </c>
      <c r="I91" s="81"/>
      <c r="J91" s="90">
        <f>SUM(F91:I92)</f>
        <v>110</v>
      </c>
      <c r="K91" s="109">
        <f>J91/J97</f>
        <v>-0.02783400809716599</v>
      </c>
    </row>
    <row r="92" spans="2:11" ht="12.75">
      <c r="B92" s="138"/>
      <c r="C92" s="139"/>
      <c r="D92" s="88"/>
      <c r="E92" s="89"/>
      <c r="F92" s="84"/>
      <c r="G92" s="85"/>
      <c r="H92" s="84"/>
      <c r="I92" s="85"/>
      <c r="J92" s="91"/>
      <c r="K92" s="111"/>
    </row>
    <row r="93" spans="2:11" ht="12.75">
      <c r="B93" s="138"/>
      <c r="C93" s="139"/>
      <c r="D93" s="123" t="s">
        <v>89</v>
      </c>
      <c r="E93" s="87"/>
      <c r="F93" s="80">
        <f>SUM(Baseline_IT_Proj)</f>
        <v>-120</v>
      </c>
      <c r="G93" s="81"/>
      <c r="H93" s="80">
        <f>SUM(Baseline_IT_Ongoing)</f>
        <v>-1021</v>
      </c>
      <c r="I93" s="81"/>
      <c r="J93" s="90">
        <f>SUM(F93:I96)</f>
        <v>-1141</v>
      </c>
      <c r="K93" s="109">
        <f>J93/J97</f>
        <v>0.28871457489878544</v>
      </c>
    </row>
    <row r="94" spans="2:11" ht="12.75">
      <c r="B94" s="138"/>
      <c r="C94" s="139"/>
      <c r="D94" s="124"/>
      <c r="E94" s="125"/>
      <c r="F94" s="82"/>
      <c r="G94" s="83"/>
      <c r="H94" s="82"/>
      <c r="I94" s="83"/>
      <c r="J94" s="92"/>
      <c r="K94" s="110"/>
    </row>
    <row r="95" spans="2:11" ht="12.75">
      <c r="B95" s="138"/>
      <c r="C95" s="139"/>
      <c r="D95" s="124"/>
      <c r="E95" s="125"/>
      <c r="F95" s="82"/>
      <c r="G95" s="83"/>
      <c r="H95" s="82"/>
      <c r="I95" s="83"/>
      <c r="J95" s="92"/>
      <c r="K95" s="110"/>
    </row>
    <row r="96" spans="2:11" ht="13.5" thickBot="1">
      <c r="B96" s="138"/>
      <c r="C96" s="139"/>
      <c r="D96" s="88"/>
      <c r="E96" s="89"/>
      <c r="F96" s="84"/>
      <c r="G96" s="85"/>
      <c r="H96" s="84"/>
      <c r="I96" s="85"/>
      <c r="J96" s="93"/>
      <c r="K96" s="111"/>
    </row>
    <row r="97" spans="4:11" ht="14.25" thickBot="1" thickTop="1">
      <c r="D97" s="76" t="s">
        <v>108</v>
      </c>
      <c r="E97" s="76"/>
      <c r="F97" s="77">
        <f>SUM(F82:G96)</f>
        <v>-34</v>
      </c>
      <c r="G97" s="78"/>
      <c r="H97" s="77">
        <f>SUM(H82:I96)</f>
        <v>-3918</v>
      </c>
      <c r="I97" s="79"/>
      <c r="J97" s="64">
        <f>SUM(J82:J96)</f>
        <v>-3952</v>
      </c>
      <c r="K97" s="67"/>
    </row>
    <row r="98" spans="4:11" ht="14.25" thickBot="1" thickTop="1">
      <c r="D98" s="76" t="s">
        <v>109</v>
      </c>
      <c r="E98" s="76"/>
      <c r="F98" s="97">
        <f>F97/J97</f>
        <v>0.00860323886639676</v>
      </c>
      <c r="G98" s="98"/>
      <c r="H98" s="97">
        <f>H97/J97</f>
        <v>0.9913967611336032</v>
      </c>
      <c r="I98" s="99"/>
      <c r="J98" s="68"/>
      <c r="K98" s="66">
        <f>J97/J97</f>
        <v>1</v>
      </c>
    </row>
    <row r="99" ht="13.5" thickTop="1"/>
    <row r="102" spans="2:9" ht="12.75">
      <c r="B102" s="3" t="s">
        <v>100</v>
      </c>
      <c r="I102" s="10" t="s">
        <v>105</v>
      </c>
    </row>
    <row r="103" spans="2:9" ht="12.75">
      <c r="B103" s="1" t="s">
        <v>102</v>
      </c>
      <c r="I103" s="10" t="s">
        <v>106</v>
      </c>
    </row>
    <row r="104" ht="12.75">
      <c r="B104" s="1" t="s">
        <v>107</v>
      </c>
    </row>
    <row r="105" spans="6:11" ht="12.75" customHeight="1">
      <c r="F105" s="145" t="s">
        <v>81</v>
      </c>
      <c r="G105" s="146"/>
      <c r="H105" s="133" t="s">
        <v>82</v>
      </c>
      <c r="I105" s="134"/>
      <c r="J105" s="106" t="s">
        <v>108</v>
      </c>
      <c r="K105" s="108"/>
    </row>
    <row r="106" spans="6:11" ht="13.5" thickBot="1">
      <c r="F106" s="147"/>
      <c r="G106" s="146"/>
      <c r="H106" s="135"/>
      <c r="I106" s="134"/>
      <c r="J106" s="107"/>
      <c r="K106" s="108"/>
    </row>
    <row r="107" spans="2:11" ht="12.75">
      <c r="B107" s="140" t="s">
        <v>84</v>
      </c>
      <c r="C107" s="141"/>
      <c r="D107" s="123" t="s">
        <v>85</v>
      </c>
      <c r="E107" s="87"/>
      <c r="F107" s="142"/>
      <c r="G107" s="142"/>
      <c r="H107" s="144">
        <f>SUM(Incremental1_Cost_PS)</f>
        <v>425</v>
      </c>
      <c r="I107" s="142"/>
      <c r="J107" s="104">
        <f>SUM(F107:I109)</f>
        <v>425</v>
      </c>
      <c r="K107" s="100"/>
    </row>
    <row r="108" spans="2:11" ht="12.75">
      <c r="B108" s="141"/>
      <c r="C108" s="141"/>
      <c r="D108" s="124"/>
      <c r="E108" s="125"/>
      <c r="F108" s="142"/>
      <c r="G108" s="142"/>
      <c r="H108" s="142"/>
      <c r="I108" s="142"/>
      <c r="J108" s="95"/>
      <c r="K108" s="100"/>
    </row>
    <row r="109" spans="2:11" ht="13.5" thickBot="1">
      <c r="B109" s="141"/>
      <c r="C109" s="141"/>
      <c r="D109" s="88"/>
      <c r="E109" s="89"/>
      <c r="F109" s="143"/>
      <c r="G109" s="143"/>
      <c r="H109" s="143"/>
      <c r="I109" s="143"/>
      <c r="J109" s="105"/>
      <c r="K109" s="100"/>
    </row>
    <row r="110" spans="2:11" ht="13.5" customHeight="1" thickTop="1">
      <c r="B110" s="136" t="s">
        <v>96</v>
      </c>
      <c r="C110" s="137"/>
      <c r="D110" s="123" t="s">
        <v>86</v>
      </c>
      <c r="E110" s="87"/>
      <c r="F110" s="80"/>
      <c r="G110" s="81"/>
      <c r="H110" s="126">
        <f>SUM(Incremental1_SDC_Ongoing)</f>
        <v>297</v>
      </c>
      <c r="I110" s="81"/>
      <c r="J110" s="94">
        <f>SUM(F110:I113)</f>
        <v>297</v>
      </c>
      <c r="K110" s="100"/>
    </row>
    <row r="111" spans="2:11" ht="12.75">
      <c r="B111" s="138"/>
      <c r="C111" s="139"/>
      <c r="D111" s="124"/>
      <c r="E111" s="125"/>
      <c r="F111" s="82"/>
      <c r="G111" s="83"/>
      <c r="H111" s="82"/>
      <c r="I111" s="83"/>
      <c r="J111" s="95"/>
      <c r="K111" s="101"/>
    </row>
    <row r="112" spans="2:11" ht="12.75">
      <c r="B112" s="138"/>
      <c r="C112" s="139"/>
      <c r="D112" s="124"/>
      <c r="E112" s="125"/>
      <c r="F112" s="82"/>
      <c r="G112" s="83"/>
      <c r="H112" s="82"/>
      <c r="I112" s="83"/>
      <c r="J112" s="95"/>
      <c r="K112" s="101"/>
    </row>
    <row r="113" spans="2:11" ht="12.75">
      <c r="B113" s="138"/>
      <c r="C113" s="139"/>
      <c r="D113" s="88"/>
      <c r="E113" s="89"/>
      <c r="F113" s="84"/>
      <c r="G113" s="85"/>
      <c r="H113" s="84"/>
      <c r="I113" s="85"/>
      <c r="J113" s="96"/>
      <c r="K113" s="101"/>
    </row>
    <row r="114" spans="2:11" ht="12.75">
      <c r="B114" s="138"/>
      <c r="C114" s="139"/>
      <c r="D114" s="86" t="s">
        <v>87</v>
      </c>
      <c r="E114" s="87"/>
      <c r="F114" s="80">
        <f>SUM(Incremental1_SW_Impl)</f>
        <v>34</v>
      </c>
      <c r="G114" s="81"/>
      <c r="H114" s="80">
        <f>SUM(Incremental1_SW_Ongoing)</f>
        <v>16</v>
      </c>
      <c r="I114" s="81"/>
      <c r="J114" s="90">
        <f>SUM(F114:I115)</f>
        <v>50</v>
      </c>
      <c r="K114" s="100"/>
    </row>
    <row r="115" spans="2:11" ht="12.75">
      <c r="B115" s="138"/>
      <c r="C115" s="139"/>
      <c r="D115" s="88"/>
      <c r="E115" s="89"/>
      <c r="F115" s="84"/>
      <c r="G115" s="85"/>
      <c r="H115" s="84"/>
      <c r="I115" s="85"/>
      <c r="J115" s="91"/>
      <c r="K115" s="101"/>
    </row>
    <row r="116" spans="2:11" ht="12.75">
      <c r="B116" s="138"/>
      <c r="C116" s="139"/>
      <c r="D116" s="86" t="s">
        <v>88</v>
      </c>
      <c r="E116" s="87"/>
      <c r="F116" s="80">
        <f>SUM(Incremental1_HW_Impl)</f>
        <v>270</v>
      </c>
      <c r="G116" s="81"/>
      <c r="H116" s="80">
        <f>SUM(Incremental1_HW_Ongoing)</f>
        <v>40</v>
      </c>
      <c r="I116" s="81"/>
      <c r="J116" s="90">
        <f>SUM(F116:I117)</f>
        <v>310</v>
      </c>
      <c r="K116" s="100"/>
    </row>
    <row r="117" spans="2:11" ht="12.75">
      <c r="B117" s="138"/>
      <c r="C117" s="139"/>
      <c r="D117" s="88"/>
      <c r="E117" s="89"/>
      <c r="F117" s="84"/>
      <c r="G117" s="85"/>
      <c r="H117" s="84"/>
      <c r="I117" s="85"/>
      <c r="J117" s="91"/>
      <c r="K117" s="101"/>
    </row>
    <row r="118" spans="2:11" ht="12.75">
      <c r="B118" s="138"/>
      <c r="C118" s="139"/>
      <c r="D118" s="123" t="s">
        <v>89</v>
      </c>
      <c r="E118" s="87"/>
      <c r="F118" s="80">
        <f>SUM(Incremental1_IT_Proj)</f>
        <v>40</v>
      </c>
      <c r="G118" s="81"/>
      <c r="H118" s="80">
        <f>SUM(Incremental1_IT_Ongoing)</f>
        <v>81</v>
      </c>
      <c r="I118" s="81"/>
      <c r="J118" s="90">
        <f>SUM(F118:I121)</f>
        <v>121</v>
      </c>
      <c r="K118" s="100"/>
    </row>
    <row r="119" spans="2:11" ht="12.75">
      <c r="B119" s="138"/>
      <c r="C119" s="139"/>
      <c r="D119" s="124"/>
      <c r="E119" s="125"/>
      <c r="F119" s="82"/>
      <c r="G119" s="83"/>
      <c r="H119" s="82"/>
      <c r="I119" s="83"/>
      <c r="J119" s="92"/>
      <c r="K119" s="101"/>
    </row>
    <row r="120" spans="2:11" ht="12.75">
      <c r="B120" s="138"/>
      <c r="C120" s="139"/>
      <c r="D120" s="124"/>
      <c r="E120" s="125"/>
      <c r="F120" s="82"/>
      <c r="G120" s="83"/>
      <c r="H120" s="82"/>
      <c r="I120" s="83"/>
      <c r="J120" s="92"/>
      <c r="K120" s="101"/>
    </row>
    <row r="121" spans="2:11" ht="13.5" thickBot="1">
      <c r="B121" s="138"/>
      <c r="C121" s="139"/>
      <c r="D121" s="88"/>
      <c r="E121" s="89"/>
      <c r="F121" s="84"/>
      <c r="G121" s="85"/>
      <c r="H121" s="84"/>
      <c r="I121" s="85"/>
      <c r="J121" s="93"/>
      <c r="K121" s="101"/>
    </row>
    <row r="122" spans="4:11" ht="14.25" thickBot="1" thickTop="1">
      <c r="D122" s="76" t="s">
        <v>108</v>
      </c>
      <c r="E122" s="76"/>
      <c r="F122" s="77">
        <f>SUM(F107:G121)</f>
        <v>344</v>
      </c>
      <c r="G122" s="78"/>
      <c r="H122" s="77">
        <f>SUM(H107:I121)</f>
        <v>859</v>
      </c>
      <c r="I122" s="79"/>
      <c r="J122" s="64">
        <f>SUM(J107:J121)</f>
        <v>1203</v>
      </c>
      <c r="K122" s="13"/>
    </row>
    <row r="123" spans="3:11" ht="13.5" thickTop="1">
      <c r="C123" s="13"/>
      <c r="D123" s="74" t="s">
        <v>109</v>
      </c>
      <c r="E123" s="74"/>
      <c r="F123" s="75"/>
      <c r="G123" s="75"/>
      <c r="H123" s="75"/>
      <c r="I123" s="75"/>
      <c r="J123" s="70"/>
      <c r="K123" s="69"/>
    </row>
    <row r="127" spans="2:8" ht="12.75">
      <c r="B127" s="3" t="s">
        <v>104</v>
      </c>
      <c r="H127" s="1" t="s">
        <v>101</v>
      </c>
    </row>
    <row r="128" spans="2:8" ht="12.75">
      <c r="B128" s="1" t="s">
        <v>102</v>
      </c>
      <c r="H128" s="1" t="s">
        <v>103</v>
      </c>
    </row>
    <row r="129" ht="12.75">
      <c r="B129" s="1" t="s">
        <v>107</v>
      </c>
    </row>
    <row r="130" spans="6:10" ht="12.75" customHeight="1">
      <c r="F130" s="145" t="s">
        <v>81</v>
      </c>
      <c r="G130" s="146"/>
      <c r="H130" s="133" t="s">
        <v>82</v>
      </c>
      <c r="I130" s="134"/>
      <c r="J130" s="102" t="s">
        <v>108</v>
      </c>
    </row>
    <row r="131" spans="6:10" ht="13.5" thickBot="1">
      <c r="F131" s="147"/>
      <c r="G131" s="146"/>
      <c r="H131" s="135"/>
      <c r="I131" s="134"/>
      <c r="J131" s="103"/>
    </row>
    <row r="132" spans="2:10" ht="12.75">
      <c r="B132" s="140" t="s">
        <v>84</v>
      </c>
      <c r="C132" s="141"/>
      <c r="D132" s="123" t="s">
        <v>85</v>
      </c>
      <c r="E132" s="87"/>
      <c r="F132" s="142"/>
      <c r="G132" s="142"/>
      <c r="H132" s="144">
        <f>SUM(Incremental2_Cost_PS)</f>
        <v>182</v>
      </c>
      <c r="I132" s="142"/>
      <c r="J132" s="104">
        <f>SUM(F132:I134)</f>
        <v>182</v>
      </c>
    </row>
    <row r="133" spans="2:10" ht="12.75">
      <c r="B133" s="141"/>
      <c r="C133" s="141"/>
      <c r="D133" s="124"/>
      <c r="E133" s="125"/>
      <c r="F133" s="142"/>
      <c r="G133" s="142"/>
      <c r="H133" s="142"/>
      <c r="I133" s="142"/>
      <c r="J133" s="95"/>
    </row>
    <row r="134" spans="2:10" ht="13.5" thickBot="1">
      <c r="B134" s="141"/>
      <c r="C134" s="141"/>
      <c r="D134" s="88"/>
      <c r="E134" s="89"/>
      <c r="F134" s="143"/>
      <c r="G134" s="143"/>
      <c r="H134" s="143"/>
      <c r="I134" s="143"/>
      <c r="J134" s="105"/>
    </row>
    <row r="135" spans="2:10" ht="13.5" customHeight="1" thickTop="1">
      <c r="B135" s="136" t="s">
        <v>96</v>
      </c>
      <c r="C135" s="137"/>
      <c r="D135" s="123" t="s">
        <v>86</v>
      </c>
      <c r="E135" s="87"/>
      <c r="F135" s="80"/>
      <c r="G135" s="81"/>
      <c r="H135" s="126">
        <f>SUM(Incremental2_SDC_Ongoing)</f>
        <v>229</v>
      </c>
      <c r="I135" s="81"/>
      <c r="J135" s="94">
        <f>SUM(F135:I138)</f>
        <v>229</v>
      </c>
    </row>
    <row r="136" spans="2:10" ht="12.75">
      <c r="B136" s="138"/>
      <c r="C136" s="139"/>
      <c r="D136" s="124"/>
      <c r="E136" s="125"/>
      <c r="F136" s="82"/>
      <c r="G136" s="83"/>
      <c r="H136" s="82"/>
      <c r="I136" s="83"/>
      <c r="J136" s="95"/>
    </row>
    <row r="137" spans="2:10" ht="12.75">
      <c r="B137" s="138"/>
      <c r="C137" s="139"/>
      <c r="D137" s="124"/>
      <c r="E137" s="125"/>
      <c r="F137" s="82"/>
      <c r="G137" s="83"/>
      <c r="H137" s="82"/>
      <c r="I137" s="83"/>
      <c r="J137" s="95"/>
    </row>
    <row r="138" spans="2:10" ht="12.75">
      <c r="B138" s="138"/>
      <c r="C138" s="139"/>
      <c r="D138" s="88"/>
      <c r="E138" s="89"/>
      <c r="F138" s="84"/>
      <c r="G138" s="85"/>
      <c r="H138" s="84"/>
      <c r="I138" s="85"/>
      <c r="J138" s="96"/>
    </row>
    <row r="139" spans="2:10" ht="12.75">
      <c r="B139" s="138"/>
      <c r="C139" s="139"/>
      <c r="D139" s="86" t="s">
        <v>87</v>
      </c>
      <c r="E139" s="87"/>
      <c r="F139" s="80">
        <f>SUM(Incremental2_SW_Impl)</f>
        <v>14</v>
      </c>
      <c r="G139" s="81"/>
      <c r="H139" s="80">
        <f>SUM(Incremental2_SW_Ongoing)</f>
        <v>-4</v>
      </c>
      <c r="I139" s="81"/>
      <c r="J139" s="90">
        <f>SUM(F139:I140)</f>
        <v>10</v>
      </c>
    </row>
    <row r="140" spans="2:10" ht="12.75">
      <c r="B140" s="138"/>
      <c r="C140" s="139"/>
      <c r="D140" s="88"/>
      <c r="E140" s="89"/>
      <c r="F140" s="84"/>
      <c r="G140" s="85"/>
      <c r="H140" s="84"/>
      <c r="I140" s="85"/>
      <c r="J140" s="91"/>
    </row>
    <row r="141" spans="2:10" ht="12.75">
      <c r="B141" s="138"/>
      <c r="C141" s="139"/>
      <c r="D141" s="86" t="s">
        <v>88</v>
      </c>
      <c r="E141" s="87"/>
      <c r="F141" s="80">
        <f>SUM(Incremental2_HW_Impl)</f>
        <v>260</v>
      </c>
      <c r="G141" s="81"/>
      <c r="H141" s="80">
        <f>SUM(Incremental2_HW_Ongoing)</f>
        <v>20</v>
      </c>
      <c r="I141" s="81"/>
      <c r="J141" s="90">
        <f>SUM(F141:I142)</f>
        <v>280</v>
      </c>
    </row>
    <row r="142" spans="2:10" ht="12.75">
      <c r="B142" s="138"/>
      <c r="C142" s="139"/>
      <c r="D142" s="88"/>
      <c r="E142" s="89"/>
      <c r="F142" s="84"/>
      <c r="G142" s="85"/>
      <c r="H142" s="84"/>
      <c r="I142" s="85"/>
      <c r="J142" s="91"/>
    </row>
    <row r="143" spans="2:10" ht="12.75">
      <c r="B143" s="138"/>
      <c r="C143" s="139"/>
      <c r="D143" s="123" t="s">
        <v>89</v>
      </c>
      <c r="E143" s="87"/>
      <c r="F143" s="80">
        <f>SUM(Incremental2_IT_Proj)</f>
        <v>2</v>
      </c>
      <c r="G143" s="81"/>
      <c r="H143" s="80">
        <f>SUM(Incremental2_IT_Ongoing)</f>
        <v>31</v>
      </c>
      <c r="I143" s="81"/>
      <c r="J143" s="90">
        <f>SUM(F143:I146)</f>
        <v>33</v>
      </c>
    </row>
    <row r="144" spans="2:10" ht="12.75">
      <c r="B144" s="138"/>
      <c r="C144" s="139"/>
      <c r="D144" s="124"/>
      <c r="E144" s="125"/>
      <c r="F144" s="82"/>
      <c r="G144" s="83"/>
      <c r="H144" s="82"/>
      <c r="I144" s="83"/>
      <c r="J144" s="92"/>
    </row>
    <row r="145" spans="2:10" ht="12.75">
      <c r="B145" s="138"/>
      <c r="C145" s="139"/>
      <c r="D145" s="124"/>
      <c r="E145" s="125"/>
      <c r="F145" s="82"/>
      <c r="G145" s="83"/>
      <c r="H145" s="82"/>
      <c r="I145" s="83"/>
      <c r="J145" s="92"/>
    </row>
    <row r="146" spans="2:10" ht="13.5" thickBot="1">
      <c r="B146" s="138"/>
      <c r="C146" s="139"/>
      <c r="D146" s="88"/>
      <c r="E146" s="89"/>
      <c r="F146" s="84"/>
      <c r="G146" s="85"/>
      <c r="H146" s="84"/>
      <c r="I146" s="85"/>
      <c r="J146" s="93"/>
    </row>
    <row r="147" spans="4:10" ht="14.25" thickBot="1" thickTop="1">
      <c r="D147" s="76" t="s">
        <v>108</v>
      </c>
      <c r="E147" s="76"/>
      <c r="F147" s="77">
        <f>SUM(F132:G146)</f>
        <v>276</v>
      </c>
      <c r="G147" s="78"/>
      <c r="H147" s="77">
        <f>SUM(H132:I146)</f>
        <v>458</v>
      </c>
      <c r="I147" s="79"/>
      <c r="J147" s="64">
        <f>SUM(J132:J146)</f>
        <v>734</v>
      </c>
    </row>
    <row r="148" ht="13.5" thickTop="1"/>
  </sheetData>
  <sheetProtection sheet="1"/>
  <mergeCells count="199">
    <mergeCell ref="F7:G8"/>
    <mergeCell ref="H7:I8"/>
    <mergeCell ref="F9:G11"/>
    <mergeCell ref="H9:I11"/>
    <mergeCell ref="D18:E19"/>
    <mergeCell ref="D20:E23"/>
    <mergeCell ref="H12:I15"/>
    <mergeCell ref="F20:G23"/>
    <mergeCell ref="H20:I23"/>
    <mergeCell ref="F12:G15"/>
    <mergeCell ref="F16:G17"/>
    <mergeCell ref="H16:I17"/>
    <mergeCell ref="B9:C11"/>
    <mergeCell ref="D9:E11"/>
    <mergeCell ref="D12:E15"/>
    <mergeCell ref="D16:E17"/>
    <mergeCell ref="B32:C34"/>
    <mergeCell ref="D32:E34"/>
    <mergeCell ref="B12:C23"/>
    <mergeCell ref="F32:G34"/>
    <mergeCell ref="H32:I34"/>
    <mergeCell ref="F18:G19"/>
    <mergeCell ref="H18:I19"/>
    <mergeCell ref="H41:I42"/>
    <mergeCell ref="F30:G31"/>
    <mergeCell ref="H30:I31"/>
    <mergeCell ref="H35:I38"/>
    <mergeCell ref="D39:E40"/>
    <mergeCell ref="F39:G40"/>
    <mergeCell ref="H39:I40"/>
    <mergeCell ref="B47:C47"/>
    <mergeCell ref="B35:C46"/>
    <mergeCell ref="D35:E38"/>
    <mergeCell ref="F35:G38"/>
    <mergeCell ref="D41:E42"/>
    <mergeCell ref="F41:G42"/>
    <mergeCell ref="D47:E47"/>
    <mergeCell ref="H43:I46"/>
    <mergeCell ref="F55:G56"/>
    <mergeCell ref="H55:I56"/>
    <mergeCell ref="B57:C59"/>
    <mergeCell ref="D57:E59"/>
    <mergeCell ref="F57:G59"/>
    <mergeCell ref="H57:I59"/>
    <mergeCell ref="D48:E48"/>
    <mergeCell ref="F80:G81"/>
    <mergeCell ref="H80:I81"/>
    <mergeCell ref="B73:C73"/>
    <mergeCell ref="B60:C71"/>
    <mergeCell ref="D60:E63"/>
    <mergeCell ref="F60:G63"/>
    <mergeCell ref="D64:E65"/>
    <mergeCell ref="F64:G65"/>
    <mergeCell ref="D66:E67"/>
    <mergeCell ref="F66:G67"/>
    <mergeCell ref="B82:C84"/>
    <mergeCell ref="D82:E84"/>
    <mergeCell ref="F82:G84"/>
    <mergeCell ref="H82:I84"/>
    <mergeCell ref="F85:G88"/>
    <mergeCell ref="D93:E96"/>
    <mergeCell ref="F93:G96"/>
    <mergeCell ref="H93:I96"/>
    <mergeCell ref="D91:E92"/>
    <mergeCell ref="F91:G92"/>
    <mergeCell ref="D89:E90"/>
    <mergeCell ref="H105:I106"/>
    <mergeCell ref="B107:C109"/>
    <mergeCell ref="D107:E109"/>
    <mergeCell ref="F107:G109"/>
    <mergeCell ref="H107:I109"/>
    <mergeCell ref="B85:C96"/>
    <mergeCell ref="F89:G90"/>
    <mergeCell ref="B110:C121"/>
    <mergeCell ref="D110:E113"/>
    <mergeCell ref="F110:G113"/>
    <mergeCell ref="D114:E115"/>
    <mergeCell ref="F114:G115"/>
    <mergeCell ref="D116:E117"/>
    <mergeCell ref="F105:G106"/>
    <mergeCell ref="D85:E88"/>
    <mergeCell ref="F130:G131"/>
    <mergeCell ref="D143:E146"/>
    <mergeCell ref="F143:G146"/>
    <mergeCell ref="H116:I117"/>
    <mergeCell ref="D118:E121"/>
    <mergeCell ref="F118:G121"/>
    <mergeCell ref="H118:I121"/>
    <mergeCell ref="F116:G117"/>
    <mergeCell ref="D122:E122"/>
    <mergeCell ref="H130:I131"/>
    <mergeCell ref="B135:C146"/>
    <mergeCell ref="D135:E138"/>
    <mergeCell ref="F135:G138"/>
    <mergeCell ref="D139:E140"/>
    <mergeCell ref="B132:C134"/>
    <mergeCell ref="D132:E134"/>
    <mergeCell ref="F132:G134"/>
    <mergeCell ref="H132:I134"/>
    <mergeCell ref="K32:K34"/>
    <mergeCell ref="K35:K38"/>
    <mergeCell ref="J30:J31"/>
    <mergeCell ref="K30:K31"/>
    <mergeCell ref="J32:J34"/>
    <mergeCell ref="J35:J38"/>
    <mergeCell ref="H141:I142"/>
    <mergeCell ref="J39:J40"/>
    <mergeCell ref="J41:J42"/>
    <mergeCell ref="K39:K40"/>
    <mergeCell ref="H135:I138"/>
    <mergeCell ref="H139:I140"/>
    <mergeCell ref="H110:I113"/>
    <mergeCell ref="H114:I115"/>
    <mergeCell ref="H89:I90"/>
    <mergeCell ref="H91:I92"/>
    <mergeCell ref="H48:I48"/>
    <mergeCell ref="K41:K42"/>
    <mergeCell ref="B72:C72"/>
    <mergeCell ref="D72:E72"/>
    <mergeCell ref="F72:G72"/>
    <mergeCell ref="H72:I72"/>
    <mergeCell ref="K64:K65"/>
    <mergeCell ref="K43:K46"/>
    <mergeCell ref="D43:E46"/>
    <mergeCell ref="F43:G46"/>
    <mergeCell ref="J43:J46"/>
    <mergeCell ref="B48:C48"/>
    <mergeCell ref="K55:K56"/>
    <mergeCell ref="J57:J59"/>
    <mergeCell ref="K57:K59"/>
    <mergeCell ref="J60:J63"/>
    <mergeCell ref="K60:K63"/>
    <mergeCell ref="F47:G47"/>
    <mergeCell ref="H47:I47"/>
    <mergeCell ref="F48:G48"/>
    <mergeCell ref="D73:E73"/>
    <mergeCell ref="F73:G73"/>
    <mergeCell ref="H73:I73"/>
    <mergeCell ref="H66:I67"/>
    <mergeCell ref="J55:J56"/>
    <mergeCell ref="J64:J65"/>
    <mergeCell ref="D68:E71"/>
    <mergeCell ref="F68:G71"/>
    <mergeCell ref="H68:I71"/>
    <mergeCell ref="H60:I63"/>
    <mergeCell ref="H64:I65"/>
    <mergeCell ref="J89:J90"/>
    <mergeCell ref="K89:K90"/>
    <mergeCell ref="J66:J67"/>
    <mergeCell ref="K66:K67"/>
    <mergeCell ref="J68:J71"/>
    <mergeCell ref="K68:K71"/>
    <mergeCell ref="H85:I88"/>
    <mergeCell ref="J93:J96"/>
    <mergeCell ref="K93:K96"/>
    <mergeCell ref="J80:J81"/>
    <mergeCell ref="K80:K81"/>
    <mergeCell ref="J82:J84"/>
    <mergeCell ref="K82:K84"/>
    <mergeCell ref="J85:J88"/>
    <mergeCell ref="K85:K88"/>
    <mergeCell ref="J91:J92"/>
    <mergeCell ref="K91:K92"/>
    <mergeCell ref="J105:J106"/>
    <mergeCell ref="K105:K106"/>
    <mergeCell ref="J107:J109"/>
    <mergeCell ref="K107:K109"/>
    <mergeCell ref="J110:J113"/>
    <mergeCell ref="K110:K113"/>
    <mergeCell ref="J114:J115"/>
    <mergeCell ref="K114:K115"/>
    <mergeCell ref="H122:I122"/>
    <mergeCell ref="J139:J140"/>
    <mergeCell ref="J116:J117"/>
    <mergeCell ref="K116:K117"/>
    <mergeCell ref="J118:J121"/>
    <mergeCell ref="K118:K121"/>
    <mergeCell ref="J130:J131"/>
    <mergeCell ref="J132:J134"/>
    <mergeCell ref="J141:J142"/>
    <mergeCell ref="J143:J146"/>
    <mergeCell ref="J135:J138"/>
    <mergeCell ref="D97:E97"/>
    <mergeCell ref="F97:G97"/>
    <mergeCell ref="H97:I97"/>
    <mergeCell ref="D98:E98"/>
    <mergeCell ref="F98:G98"/>
    <mergeCell ref="H98:I98"/>
    <mergeCell ref="F122:G122"/>
    <mergeCell ref="D123:E123"/>
    <mergeCell ref="F123:G123"/>
    <mergeCell ref="H123:I123"/>
    <mergeCell ref="D147:E147"/>
    <mergeCell ref="F147:G147"/>
    <mergeCell ref="H147:I147"/>
    <mergeCell ref="H143:I146"/>
    <mergeCell ref="F139:G140"/>
    <mergeCell ref="D141:E142"/>
    <mergeCell ref="F141:G14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FFFF99"/>
  </sheetPr>
  <dimension ref="C6:H15"/>
  <sheetViews>
    <sheetView showGridLines="0" zoomScalePageLayoutView="0" workbookViewId="0" topLeftCell="A1">
      <selection activeCell="I42" sqref="I42"/>
    </sheetView>
  </sheetViews>
  <sheetFormatPr defaultColWidth="9.140625" defaultRowHeight="12.75"/>
  <cols>
    <col min="3" max="3" width="10.7109375" style="0" customWidth="1"/>
    <col min="4" max="8" width="15.7109375" style="0" customWidth="1"/>
  </cols>
  <sheetData>
    <row r="6" ht="12.75">
      <c r="C6" s="16" t="s">
        <v>24</v>
      </c>
    </row>
    <row r="8" spans="4:8" ht="12.75">
      <c r="D8" s="60" t="s">
        <v>70</v>
      </c>
      <c r="E8" s="60" t="s">
        <v>71</v>
      </c>
      <c r="F8" s="60" t="s">
        <v>45</v>
      </c>
      <c r="G8" s="60" t="s">
        <v>72</v>
      </c>
      <c r="H8" s="60" t="s">
        <v>73</v>
      </c>
    </row>
    <row r="9" spans="3:8" ht="12.75">
      <c r="C9" s="17" t="s">
        <v>7</v>
      </c>
      <c r="D9" s="62">
        <f>ProposalCF!$H51</f>
        <v>3906</v>
      </c>
      <c r="E9" s="62">
        <f>AltProposalCF!$H51</f>
        <v>1583.6000000000004</v>
      </c>
      <c r="F9" s="62">
        <f>CurrentStateCF!$H51</f>
        <v>-2492</v>
      </c>
      <c r="G9" s="62">
        <f>IncrementProposal!$H51</f>
        <v>6398</v>
      </c>
      <c r="H9" s="62">
        <f>IncrementAltProp!$H51</f>
        <v>4075.6</v>
      </c>
    </row>
    <row r="10" spans="3:8" ht="12.75">
      <c r="C10" s="17" t="str">
        <f>"NPV  at "&amp;FIXED(ProposalCF!DCF_Rate_1*100,1)&amp;"% "</f>
        <v>NPV  at 0.0% </v>
      </c>
      <c r="D10" s="62">
        <f>ProposalCF!$H55</f>
        <v>3906</v>
      </c>
      <c r="E10" s="62">
        <f>AltProposalCF!$H55</f>
        <v>1583.6</v>
      </c>
      <c r="F10" s="62">
        <f>CurrentStateCF!$H55</f>
        <v>-2492</v>
      </c>
      <c r="G10" s="62">
        <f>IncrementProposal!$H55</f>
        <v>6398</v>
      </c>
      <c r="H10" s="62">
        <f>IncrementAltProp!$H55</f>
        <v>4075.6</v>
      </c>
    </row>
    <row r="11" spans="3:8" ht="12.75">
      <c r="C11" s="17" t="s">
        <v>25</v>
      </c>
      <c r="D11" s="62">
        <f>ProposalCF!$H16</f>
        <v>7624</v>
      </c>
      <c r="E11" s="62">
        <f>AltProposalCF!$H16</f>
        <v>5770.6</v>
      </c>
      <c r="F11" s="62">
        <f>CurrentStateCF!$H16</f>
        <v>2429</v>
      </c>
      <c r="G11" s="62">
        <f>IncrementProposal!$H16</f>
        <v>5195</v>
      </c>
      <c r="H11" s="62">
        <f>IncrementAltProp!$H16</f>
        <v>3341.6</v>
      </c>
    </row>
    <row r="12" spans="3:8" ht="12.75">
      <c r="C12" s="17" t="s">
        <v>15</v>
      </c>
      <c r="D12" s="62">
        <f>ProposalCF!$H44</f>
        <v>-3718</v>
      </c>
      <c r="E12" s="62">
        <f>AltProposalCF!$H44</f>
        <v>-4187</v>
      </c>
      <c r="F12" s="62">
        <f>CurrentStateCF!$H44</f>
        <v>-4921</v>
      </c>
      <c r="G12" s="62">
        <f>IncrementProposal!$H44</f>
        <v>1203</v>
      </c>
      <c r="H12" s="62">
        <f>IncrementAltProp!$H44</f>
        <v>734</v>
      </c>
    </row>
    <row r="14" ht="12.75">
      <c r="F14" s="15" t="s">
        <v>77</v>
      </c>
    </row>
    <row r="15" ht="12.75">
      <c r="F15" s="15" t="s">
        <v>78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Financial Analysis Template</dc:title>
  <dc:subject/>
  <dc:creator>Marty</dc:creator>
  <cp:keywords/>
  <dc:description>Copyright © 2003 by Solution Matrix Ltd. 
All rights reserved. This template may not be sold or otherwise duplicated by any means or in any form, except by the registered owner for his or her own use.</dc:description>
  <cp:lastModifiedBy>KLOPFER James * CIO</cp:lastModifiedBy>
  <cp:lastPrinted>2008-04-03T20:41:40Z</cp:lastPrinted>
  <dcterms:created xsi:type="dcterms:W3CDTF">1999-01-13T22:08:41Z</dcterms:created>
  <dcterms:modified xsi:type="dcterms:W3CDTF">2016-05-04T16:11:59Z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ToStateLib">
    <vt:lpwstr>0</vt:lpwstr>
  </property>
  <property fmtid="{D5CDD505-2E9C-101B-9397-08002B2CF9AE}" pid="3" name="Metadata">
    <vt:lpwstr/>
  </property>
  <property fmtid="{D5CDD505-2E9C-101B-9397-08002B2CF9AE}" pid="4" name="DocumentLocale">
    <vt:lpwstr>en</vt:lpwstr>
  </property>
  <property fmtid="{D5CDD505-2E9C-101B-9397-08002B2CF9AE}" pid="5" name="RoutingRuleDescription">
    <vt:lpwstr>bus_case_financials</vt:lpwstr>
  </property>
  <property fmtid="{D5CDD505-2E9C-101B-9397-08002B2CF9AE}" pid="6" name="RetentionPeriodDate">
    <vt:lpwstr/>
  </property>
  <property fmtid="{D5CDD505-2E9C-101B-9397-08002B2CF9AE}" pid="7" name="Sub-Topic">
    <vt:lpwstr>Forms</vt:lpwstr>
  </property>
  <property fmtid="{D5CDD505-2E9C-101B-9397-08002B2CF9AE}" pid="8" name="Document Title">
    <vt:lpwstr>https://www.oregon.gov/das/OSCIO/Documents/Bus_Case_Financials.xls, Business Case Financial Analysis Template</vt:lpwstr>
  </property>
  <property fmtid="{D5CDD505-2E9C-101B-9397-08002B2CF9AE}" pid="9" name="Topic">
    <vt:lpwstr>Strategic Office</vt:lpwstr>
  </property>
  <property fmtid="{D5CDD505-2E9C-101B-9397-08002B2CF9AE}" pid="10" name="display_urn:schemas-microsoft-com:office:office#Editor">
    <vt:lpwstr>Travis L Miller</vt:lpwstr>
  </property>
  <property fmtid="{D5CDD505-2E9C-101B-9397-08002B2CF9AE}" pid="11" name="display_urn:schemas-microsoft-com:office:office#Author">
    <vt:lpwstr>Travis L Miller</vt:lpwstr>
  </property>
</Properties>
</file>